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valtion.fi\Yhteiset_tiedostot\VM\KAO\Kuntatalous\Suunnittelukehikko\Kehikko 2025\"/>
    </mc:Choice>
  </mc:AlternateContent>
  <xr:revisionPtr revIDLastSave="0" documentId="13_ncr:1_{4505556D-31B2-4777-A60A-2CCC01E04D2F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selite" sheetId="8" r:id="rId1"/>
    <sheet name="KEHIKKO" sheetId="3" r:id="rId2"/>
    <sheet name="pohjatiedot" sheetId="5" r:id="rId3"/>
    <sheet name="väestöennuste" sheetId="6" r:id="rId4"/>
  </sheets>
  <definedNames>
    <definedName name="_xlnm.Print_Area" localSheetId="1">KEHIKKO!$A$1:$P$130</definedName>
    <definedName name="_xlnm.Print_Area" localSheetId="0">selite!$A$1:$N$67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C4" i="5" l="1"/>
  <c r="CC5" i="5"/>
  <c r="CC6" i="5"/>
  <c r="CC7" i="5"/>
  <c r="CC8" i="5"/>
  <c r="CC9" i="5"/>
  <c r="CC10" i="5"/>
  <c r="CC11" i="5"/>
  <c r="CC12" i="5"/>
  <c r="CC13" i="5"/>
  <c r="CC14" i="5"/>
  <c r="CC15" i="5"/>
  <c r="CC16" i="5"/>
  <c r="CC17" i="5"/>
  <c r="CC18" i="5"/>
  <c r="CC19" i="5"/>
  <c r="CC20" i="5"/>
  <c r="CC21" i="5"/>
  <c r="CC22" i="5"/>
  <c r="CC23" i="5"/>
  <c r="CC24" i="5"/>
  <c r="CC25" i="5"/>
  <c r="CC26" i="5"/>
  <c r="CC27" i="5"/>
  <c r="CC28" i="5"/>
  <c r="CC29" i="5"/>
  <c r="CC30" i="5"/>
  <c r="CC31" i="5"/>
  <c r="CC32" i="5"/>
  <c r="CC33" i="5"/>
  <c r="CC34" i="5"/>
  <c r="CC35" i="5"/>
  <c r="CC36" i="5"/>
  <c r="CC37" i="5"/>
  <c r="CC38" i="5"/>
  <c r="CC39" i="5"/>
  <c r="CC40" i="5"/>
  <c r="CC41" i="5"/>
  <c r="CC42" i="5"/>
  <c r="CC43" i="5"/>
  <c r="CC44" i="5"/>
  <c r="CC45" i="5"/>
  <c r="CC46" i="5"/>
  <c r="CC47" i="5"/>
  <c r="CC48" i="5"/>
  <c r="CC49" i="5"/>
  <c r="CC50" i="5"/>
  <c r="CC51" i="5"/>
  <c r="CC52" i="5"/>
  <c r="CC53" i="5"/>
  <c r="CC54" i="5"/>
  <c r="CC55" i="5"/>
  <c r="CC56" i="5"/>
  <c r="CC57" i="5"/>
  <c r="CC58" i="5"/>
  <c r="CC59" i="5"/>
  <c r="CC60" i="5"/>
  <c r="CC61" i="5"/>
  <c r="CC62" i="5"/>
  <c r="CC63" i="5"/>
  <c r="CC64" i="5"/>
  <c r="CC65" i="5"/>
  <c r="CC66" i="5"/>
  <c r="CC67" i="5"/>
  <c r="CC68" i="5"/>
  <c r="CC69" i="5"/>
  <c r="CC70" i="5"/>
  <c r="CC71" i="5"/>
  <c r="CC72" i="5"/>
  <c r="CC73" i="5"/>
  <c r="CC74" i="5"/>
  <c r="CC75" i="5"/>
  <c r="CC76" i="5"/>
  <c r="CC77" i="5"/>
  <c r="CC78" i="5"/>
  <c r="CC79" i="5"/>
  <c r="CC80" i="5"/>
  <c r="CC81" i="5"/>
  <c r="CC82" i="5"/>
  <c r="CC83" i="5"/>
  <c r="CC84" i="5"/>
  <c r="CC85" i="5"/>
  <c r="CC86" i="5"/>
  <c r="CC87" i="5"/>
  <c r="CC88" i="5"/>
  <c r="CC89" i="5"/>
  <c r="CC90" i="5"/>
  <c r="CC91" i="5"/>
  <c r="CC92" i="5"/>
  <c r="CC93" i="5"/>
  <c r="CC94" i="5"/>
  <c r="CC95" i="5"/>
  <c r="CC96" i="5"/>
  <c r="CC97" i="5"/>
  <c r="CC98" i="5"/>
  <c r="CC99" i="5"/>
  <c r="CC100" i="5"/>
  <c r="CC101" i="5"/>
  <c r="CC102" i="5"/>
  <c r="CC103" i="5"/>
  <c r="CC104" i="5"/>
  <c r="CC105" i="5"/>
  <c r="CC106" i="5"/>
  <c r="CC107" i="5"/>
  <c r="CC108" i="5"/>
  <c r="CC109" i="5"/>
  <c r="CC110" i="5"/>
  <c r="CC111" i="5"/>
  <c r="CC112" i="5"/>
  <c r="CC113" i="5"/>
  <c r="CC114" i="5"/>
  <c r="CC115" i="5"/>
  <c r="CC116" i="5"/>
  <c r="CC117" i="5"/>
  <c r="CC118" i="5"/>
  <c r="CC119" i="5"/>
  <c r="CC120" i="5"/>
  <c r="CC121" i="5"/>
  <c r="CC122" i="5"/>
  <c r="CC123" i="5"/>
  <c r="CC124" i="5"/>
  <c r="CC125" i="5"/>
  <c r="CC126" i="5"/>
  <c r="CC127" i="5"/>
  <c r="CC128" i="5"/>
  <c r="CC129" i="5"/>
  <c r="CC130" i="5"/>
  <c r="CC131" i="5"/>
  <c r="CC132" i="5"/>
  <c r="CC133" i="5"/>
  <c r="CC134" i="5"/>
  <c r="CC135" i="5"/>
  <c r="CC136" i="5"/>
  <c r="CC137" i="5"/>
  <c r="CC138" i="5"/>
  <c r="CC139" i="5"/>
  <c r="CC140" i="5"/>
  <c r="CC141" i="5"/>
  <c r="CC142" i="5"/>
  <c r="CC143" i="5"/>
  <c r="CC144" i="5"/>
  <c r="CC145" i="5"/>
  <c r="CC146" i="5"/>
  <c r="CC147" i="5"/>
  <c r="CC148" i="5"/>
  <c r="CC149" i="5"/>
  <c r="CC150" i="5"/>
  <c r="CC151" i="5"/>
  <c r="CC152" i="5"/>
  <c r="CC153" i="5"/>
  <c r="CC154" i="5"/>
  <c r="CC155" i="5"/>
  <c r="CC156" i="5"/>
  <c r="CC157" i="5"/>
  <c r="CC158" i="5"/>
  <c r="CC159" i="5"/>
  <c r="CC160" i="5"/>
  <c r="CC161" i="5"/>
  <c r="CC162" i="5"/>
  <c r="CC163" i="5"/>
  <c r="CC164" i="5"/>
  <c r="CC165" i="5"/>
  <c r="CC166" i="5"/>
  <c r="CC167" i="5"/>
  <c r="CC168" i="5"/>
  <c r="CC169" i="5"/>
  <c r="CC170" i="5"/>
  <c r="CC171" i="5"/>
  <c r="CC172" i="5"/>
  <c r="CC173" i="5"/>
  <c r="CC174" i="5"/>
  <c r="CC175" i="5"/>
  <c r="CC176" i="5"/>
  <c r="CC177" i="5"/>
  <c r="CC178" i="5"/>
  <c r="CC179" i="5"/>
  <c r="CC180" i="5"/>
  <c r="CC181" i="5"/>
  <c r="CC182" i="5"/>
  <c r="CC183" i="5"/>
  <c r="CC184" i="5"/>
  <c r="CC185" i="5"/>
  <c r="CC186" i="5"/>
  <c r="CC187" i="5"/>
  <c r="CC188" i="5"/>
  <c r="CC189" i="5"/>
  <c r="CC190" i="5"/>
  <c r="CC191" i="5"/>
  <c r="CC192" i="5"/>
  <c r="CC193" i="5"/>
  <c r="CC194" i="5"/>
  <c r="CC195" i="5"/>
  <c r="CC196" i="5"/>
  <c r="CC197" i="5"/>
  <c r="CC198" i="5"/>
  <c r="CC199" i="5"/>
  <c r="CC200" i="5"/>
  <c r="CC201" i="5"/>
  <c r="CC202" i="5"/>
  <c r="CC203" i="5"/>
  <c r="CC204" i="5"/>
  <c r="CC205" i="5"/>
  <c r="CC206" i="5"/>
  <c r="CC207" i="5"/>
  <c r="CC208" i="5"/>
  <c r="CC209" i="5"/>
  <c r="CC210" i="5"/>
  <c r="CC211" i="5"/>
  <c r="CC212" i="5"/>
  <c r="CC213" i="5"/>
  <c r="CC214" i="5"/>
  <c r="CC215" i="5"/>
  <c r="CC216" i="5"/>
  <c r="CC217" i="5"/>
  <c r="CC218" i="5"/>
  <c r="CC219" i="5"/>
  <c r="CC220" i="5"/>
  <c r="CC221" i="5"/>
  <c r="CC222" i="5"/>
  <c r="CC223" i="5"/>
  <c r="CC224" i="5"/>
  <c r="CC225" i="5"/>
  <c r="CC226" i="5"/>
  <c r="CC227" i="5"/>
  <c r="CC228" i="5"/>
  <c r="CC229" i="5"/>
  <c r="CC230" i="5"/>
  <c r="CC231" i="5"/>
  <c r="CC232" i="5"/>
  <c r="CC233" i="5"/>
  <c r="CC234" i="5"/>
  <c r="CC235" i="5"/>
  <c r="CC236" i="5"/>
  <c r="CC237" i="5"/>
  <c r="CC238" i="5"/>
  <c r="CC239" i="5"/>
  <c r="CC240" i="5"/>
  <c r="CC241" i="5"/>
  <c r="CC242" i="5"/>
  <c r="CC243" i="5"/>
  <c r="CC244" i="5"/>
  <c r="CC245" i="5"/>
  <c r="CC246" i="5"/>
  <c r="CC247" i="5"/>
  <c r="CC248" i="5"/>
  <c r="CC249" i="5"/>
  <c r="CC250" i="5"/>
  <c r="CC251" i="5"/>
  <c r="CC252" i="5"/>
  <c r="CC253" i="5"/>
  <c r="CC254" i="5"/>
  <c r="CC255" i="5"/>
  <c r="CC256" i="5"/>
  <c r="CC257" i="5"/>
  <c r="CC258" i="5"/>
  <c r="CC259" i="5"/>
  <c r="CC260" i="5"/>
  <c r="CC261" i="5"/>
  <c r="CC262" i="5"/>
  <c r="CC263" i="5"/>
  <c r="CC264" i="5"/>
  <c r="CC265" i="5"/>
  <c r="CC266" i="5"/>
  <c r="CC267" i="5"/>
  <c r="CC268" i="5"/>
  <c r="CC269" i="5"/>
  <c r="CC270" i="5"/>
  <c r="CC271" i="5"/>
  <c r="CC272" i="5"/>
  <c r="CC273" i="5"/>
  <c r="CC274" i="5"/>
  <c r="CC275" i="5"/>
  <c r="CC276" i="5"/>
  <c r="CC277" i="5"/>
  <c r="CC278" i="5"/>
  <c r="CC279" i="5"/>
  <c r="CC280" i="5"/>
  <c r="CC281" i="5"/>
  <c r="CC282" i="5"/>
  <c r="CC283" i="5"/>
  <c r="CC284" i="5"/>
  <c r="CC285" i="5"/>
  <c r="CC286" i="5"/>
  <c r="CC287" i="5"/>
  <c r="CC288" i="5"/>
  <c r="CC289" i="5"/>
  <c r="CC290" i="5"/>
  <c r="CC291" i="5"/>
  <c r="CC292" i="5"/>
  <c r="CC293" i="5"/>
  <c r="CC294" i="5"/>
  <c r="CC295" i="5"/>
  <c r="CC296" i="5"/>
  <c r="CC3" i="5"/>
  <c r="J71" i="3" l="1"/>
  <c r="K71" i="3" s="1"/>
  <c r="L71" i="3" s="1"/>
  <c r="M71" i="3" s="1"/>
  <c r="J70" i="3"/>
  <c r="K70" i="3" s="1"/>
  <c r="L70" i="3" s="1"/>
  <c r="M70" i="3" s="1"/>
  <c r="C86" i="3" l="1"/>
  <c r="C116" i="3"/>
  <c r="C146" i="3" s="1"/>
  <c r="A4" i="3" l="1"/>
  <c r="J73" i="3"/>
  <c r="K73" i="3" s="1"/>
  <c r="L73" i="3" s="1"/>
  <c r="M73" i="3" s="1"/>
  <c r="J74" i="3"/>
  <c r="K74" i="3" s="1"/>
  <c r="L74" i="3" s="1"/>
  <c r="M74" i="3" s="1"/>
  <c r="J75" i="3"/>
  <c r="K75" i="3" s="1"/>
  <c r="L75" i="3" s="1"/>
  <c r="M75" i="3" s="1"/>
  <c r="J76" i="3"/>
  <c r="K76" i="3" s="1"/>
  <c r="L76" i="3" s="1"/>
  <c r="M76" i="3" s="1"/>
  <c r="D116" i="3"/>
  <c r="D146" i="3" s="1"/>
  <c r="E116" i="3"/>
  <c r="E146" i="3" s="1"/>
  <c r="F116" i="3"/>
  <c r="F146" i="3" s="1"/>
  <c r="G116" i="3"/>
  <c r="G146" i="3" s="1"/>
  <c r="H116" i="3"/>
  <c r="H146" i="3" s="1"/>
  <c r="I116" i="3"/>
  <c r="I146" i="3" s="1"/>
  <c r="J116" i="3"/>
  <c r="J146" i="3" s="1"/>
  <c r="K116" i="3"/>
  <c r="K146" i="3" s="1"/>
  <c r="L116" i="3"/>
  <c r="L146" i="3" s="1"/>
  <c r="M116" i="3"/>
  <c r="M146" i="3" s="1"/>
  <c r="B116" i="3"/>
  <c r="B146" i="3" s="1"/>
  <c r="D86" i="3"/>
  <c r="E86" i="3"/>
  <c r="F86" i="3"/>
  <c r="G86" i="3"/>
  <c r="H86" i="3"/>
  <c r="I86" i="3"/>
  <c r="J86" i="3"/>
  <c r="K86" i="3"/>
  <c r="L86" i="3"/>
  <c r="M86" i="3"/>
  <c r="B86" i="3"/>
  <c r="M8" i="3" l="1"/>
  <c r="L8" i="3"/>
  <c r="K8" i="3"/>
  <c r="B14" i="3"/>
  <c r="C14" i="3"/>
  <c r="D14" i="3" s="1"/>
  <c r="E14" i="3" s="1"/>
  <c r="F14" i="3" s="1"/>
  <c r="G14" i="3" s="1"/>
  <c r="H14" i="3" s="1"/>
  <c r="I14" i="3" s="1"/>
  <c r="J14" i="3" s="1"/>
  <c r="K14" i="3" s="1"/>
  <c r="L14" i="3" s="1"/>
  <c r="M14" i="3" s="1"/>
  <c r="G8" i="3"/>
  <c r="D8" i="3"/>
  <c r="F8" i="3"/>
  <c r="E8" i="3"/>
  <c r="I8" i="3"/>
  <c r="H8" i="3"/>
  <c r="J8" i="3"/>
  <c r="C44" i="3"/>
  <c r="B44" i="3"/>
  <c r="B42" i="3"/>
  <c r="C47" i="3"/>
  <c r="C46" i="3"/>
  <c r="C42" i="3"/>
  <c r="C45" i="3"/>
  <c r="C57" i="3"/>
  <c r="B58" i="3"/>
  <c r="C58" i="3"/>
  <c r="B57" i="3"/>
  <c r="H20" i="3"/>
  <c r="G20" i="3"/>
  <c r="D9" i="3"/>
  <c r="F20" i="3"/>
  <c r="E9" i="3"/>
  <c r="F9" i="3" s="1"/>
  <c r="E20" i="3"/>
  <c r="D20" i="3"/>
  <c r="B47" i="3"/>
  <c r="B46" i="3"/>
  <c r="B45" i="3"/>
  <c r="E57" i="3"/>
  <c r="F57" i="3" s="1"/>
  <c r="C19" i="3"/>
  <c r="B63" i="3"/>
  <c r="C9" i="3"/>
  <c r="C25" i="3"/>
  <c r="D25" i="3" s="1"/>
  <c r="E25" i="3" s="1"/>
  <c r="F25" i="3" s="1"/>
  <c r="C28" i="3"/>
  <c r="D28" i="3" s="1"/>
  <c r="E28" i="3" s="1"/>
  <c r="F28" i="3" s="1"/>
  <c r="G28" i="3" s="1"/>
  <c r="H28" i="3" s="1"/>
  <c r="I28" i="3" s="1"/>
  <c r="J28" i="3" s="1"/>
  <c r="K28" i="3" s="1"/>
  <c r="L28" i="3" s="1"/>
  <c r="M28" i="3" s="1"/>
  <c r="C30" i="3"/>
  <c r="C32" i="3"/>
  <c r="D32" i="3" s="1"/>
  <c r="E32" i="3" s="1"/>
  <c r="F32" i="3" s="1"/>
  <c r="C34" i="3"/>
  <c r="D34" i="3" s="1"/>
  <c r="E34" i="3" s="1"/>
  <c r="F34" i="3" s="1"/>
  <c r="C37" i="3"/>
  <c r="C63" i="3"/>
  <c r="C24" i="3"/>
  <c r="D24" i="3" s="1"/>
  <c r="E24" i="3" s="1"/>
  <c r="F24" i="3" s="1"/>
  <c r="C26" i="3"/>
  <c r="C29" i="3"/>
  <c r="C31" i="3"/>
  <c r="C33" i="3"/>
  <c r="D33" i="3" s="1"/>
  <c r="E33" i="3" s="1"/>
  <c r="F33" i="3" s="1"/>
  <c r="C35" i="3"/>
  <c r="C61" i="3"/>
  <c r="B37" i="3"/>
  <c r="B34" i="3"/>
  <c r="B32" i="3"/>
  <c r="B24" i="3"/>
  <c r="C20" i="3"/>
  <c r="C8" i="3"/>
  <c r="B35" i="3"/>
  <c r="B33" i="3"/>
  <c r="B31" i="3"/>
  <c r="B23" i="3"/>
  <c r="B16" i="3"/>
  <c r="C16" i="3"/>
  <c r="B25" i="3"/>
  <c r="C23" i="3"/>
  <c r="B22" i="3"/>
  <c r="B20" i="3"/>
  <c r="B12" i="3"/>
  <c r="B17" i="3"/>
  <c r="B30" i="3"/>
  <c r="C17" i="3"/>
  <c r="D17" i="3" s="1"/>
  <c r="E17" i="3" s="1"/>
  <c r="B19" i="3"/>
  <c r="B9" i="3"/>
  <c r="B8" i="3"/>
  <c r="B13" i="3"/>
  <c r="B18" i="3"/>
  <c r="B26" i="3"/>
  <c r="C22" i="3"/>
  <c r="D22" i="3" s="1"/>
  <c r="E22" i="3" s="1"/>
  <c r="F22" i="3" s="1"/>
  <c r="C13" i="3"/>
  <c r="B28" i="3"/>
  <c r="B29" i="3"/>
  <c r="B61" i="3"/>
  <c r="C18" i="3"/>
  <c r="D18" i="3" s="1"/>
  <c r="E18" i="3" s="1"/>
  <c r="C12" i="3"/>
  <c r="D45" i="3" l="1"/>
  <c r="C15" i="3"/>
  <c r="B15" i="3"/>
  <c r="D46" i="3"/>
  <c r="E46" i="3" s="1"/>
  <c r="D47" i="3"/>
  <c r="C147" i="3"/>
  <c r="B147" i="3"/>
  <c r="E45" i="3"/>
  <c r="D76" i="3"/>
  <c r="B48" i="3"/>
  <c r="B50" i="3" s="1"/>
  <c r="B51" i="3" s="1"/>
  <c r="B65" i="3"/>
  <c r="B66" i="3" s="1"/>
  <c r="E76" i="3"/>
  <c r="D23" i="3"/>
  <c r="C65" i="3"/>
  <c r="C66" i="3" s="1"/>
  <c r="G76" i="3"/>
  <c r="H76" i="3"/>
  <c r="F76" i="3"/>
  <c r="I20" i="3"/>
  <c r="J20" i="3" s="1"/>
  <c r="K20" i="3" s="1"/>
  <c r="L20" i="3" s="1"/>
  <c r="M20" i="3" s="1"/>
  <c r="D12" i="3"/>
  <c r="D15" i="3" s="1"/>
  <c r="C10" i="3"/>
  <c r="D11" i="3" s="1"/>
  <c r="D16" i="3" s="1"/>
  <c r="B43" i="3"/>
  <c r="C48" i="3"/>
  <c r="C50" i="3" s="1"/>
  <c r="C51" i="3" s="1"/>
  <c r="E42" i="3"/>
  <c r="F42" i="3" s="1"/>
  <c r="G42" i="3" s="1"/>
  <c r="H42" i="3" s="1"/>
  <c r="I42" i="3" s="1"/>
  <c r="J42" i="3" s="1"/>
  <c r="K42" i="3" s="1"/>
  <c r="L42" i="3" s="1"/>
  <c r="M42" i="3" s="1"/>
  <c r="C27" i="3"/>
  <c r="C87" i="3" s="1"/>
  <c r="G33" i="3"/>
  <c r="H33" i="3" s="1"/>
  <c r="I33" i="3" s="1"/>
  <c r="J33" i="3" s="1"/>
  <c r="K33" i="3" s="1"/>
  <c r="L33" i="3" s="1"/>
  <c r="M33" i="3" s="1"/>
  <c r="G24" i="3"/>
  <c r="H24" i="3" s="1"/>
  <c r="I24" i="3" s="1"/>
  <c r="J24" i="3" s="1"/>
  <c r="K24" i="3" s="1"/>
  <c r="L24" i="3" s="1"/>
  <c r="M24" i="3" s="1"/>
  <c r="G32" i="3"/>
  <c r="H32" i="3" s="1"/>
  <c r="I32" i="3" s="1"/>
  <c r="J32" i="3" s="1"/>
  <c r="K32" i="3" s="1"/>
  <c r="L32" i="3" s="1"/>
  <c r="M32" i="3" s="1"/>
  <c r="G22" i="3"/>
  <c r="H22" i="3" s="1"/>
  <c r="I22" i="3" s="1"/>
  <c r="J22" i="3" s="1"/>
  <c r="K22" i="3" s="1"/>
  <c r="L22" i="3" s="1"/>
  <c r="M22" i="3" s="1"/>
  <c r="G57" i="3"/>
  <c r="H57" i="3" s="1"/>
  <c r="I57" i="3" s="1"/>
  <c r="J57" i="3" s="1"/>
  <c r="K57" i="3" s="1"/>
  <c r="L57" i="3" s="1"/>
  <c r="M57" i="3" s="1"/>
  <c r="G34" i="3"/>
  <c r="H34" i="3" s="1"/>
  <c r="I34" i="3" s="1"/>
  <c r="J34" i="3" s="1"/>
  <c r="K34" i="3" s="1"/>
  <c r="L34" i="3" s="1"/>
  <c r="M34" i="3" s="1"/>
  <c r="G25" i="3"/>
  <c r="H25" i="3" s="1"/>
  <c r="I25" i="3" s="1"/>
  <c r="J25" i="3" s="1"/>
  <c r="K25" i="3" s="1"/>
  <c r="L25" i="3" s="1"/>
  <c r="M25" i="3" s="1"/>
  <c r="B41" i="3"/>
  <c r="D59" i="3"/>
  <c r="C76" i="3"/>
  <c r="B10" i="3"/>
  <c r="B38" i="3"/>
  <c r="B148" i="3" s="1"/>
  <c r="C70" i="3"/>
  <c r="C43" i="3"/>
  <c r="C41" i="3"/>
  <c r="B88" i="3"/>
  <c r="D13" i="3"/>
  <c r="E13" i="3" s="1"/>
  <c r="F13" i="3" s="1"/>
  <c r="C71" i="3"/>
  <c r="F17" i="3"/>
  <c r="G17" i="3" s="1"/>
  <c r="C74" i="3"/>
  <c r="C88" i="3"/>
  <c r="C64" i="3"/>
  <c r="C117" i="3" s="1"/>
  <c r="C38" i="3"/>
  <c r="C148" i="3" s="1"/>
  <c r="C62" i="3"/>
  <c r="C118" i="3" s="1"/>
  <c r="C73" i="3"/>
  <c r="F18" i="3"/>
  <c r="G18" i="3" s="1"/>
  <c r="H18" i="3" s="1"/>
  <c r="I18" i="3" s="1"/>
  <c r="J18" i="3" s="1"/>
  <c r="K18" i="3" s="1"/>
  <c r="L18" i="3" s="1"/>
  <c r="M18" i="3" s="1"/>
  <c r="C75" i="3"/>
  <c r="B27" i="3"/>
  <c r="B87" i="3" s="1"/>
  <c r="B64" i="3"/>
  <c r="B117" i="3" s="1"/>
  <c r="B62" i="3"/>
  <c r="B118" i="3" s="1"/>
  <c r="G13" i="3" l="1"/>
  <c r="H13" i="3" s="1"/>
  <c r="I13" i="3" s="1"/>
  <c r="J13" i="3" s="1"/>
  <c r="K13" i="3" s="1"/>
  <c r="L13" i="3" s="1"/>
  <c r="M13" i="3" s="1"/>
  <c r="D48" i="3"/>
  <c r="E47" i="3"/>
  <c r="F47" i="3" s="1"/>
  <c r="G47" i="3" s="1"/>
  <c r="B49" i="3"/>
  <c r="B53" i="3"/>
  <c r="B89" i="3"/>
  <c r="F46" i="3"/>
  <c r="G46" i="3" s="1"/>
  <c r="F45" i="3"/>
  <c r="G45" i="3" s="1"/>
  <c r="D72" i="3"/>
  <c r="E12" i="3"/>
  <c r="E15" i="3" s="1"/>
  <c r="G9" i="3"/>
  <c r="H9" i="3" s="1"/>
  <c r="D10" i="3"/>
  <c r="E11" i="3" s="1"/>
  <c r="E16" i="3" s="1"/>
  <c r="C53" i="3"/>
  <c r="C72" i="3"/>
  <c r="H17" i="3"/>
  <c r="I17" i="3" s="1"/>
  <c r="J17" i="3" s="1"/>
  <c r="K17" i="3" s="1"/>
  <c r="L17" i="3" s="1"/>
  <c r="M17" i="3" s="1"/>
  <c r="C119" i="3"/>
  <c r="C49" i="3"/>
  <c r="C89" i="3"/>
  <c r="B119" i="3"/>
  <c r="D88" i="3"/>
  <c r="E48" i="3"/>
  <c r="D43" i="3"/>
  <c r="H45" i="3" l="1"/>
  <c r="I45" i="3" s="1"/>
  <c r="H46" i="3"/>
  <c r="I46" i="3" s="1"/>
  <c r="H47" i="3"/>
  <c r="F12" i="3"/>
  <c r="F15" i="3" s="1"/>
  <c r="E72" i="3"/>
  <c r="D19" i="3"/>
  <c r="D26" i="3" s="1"/>
  <c r="D41" i="3" s="1"/>
  <c r="D44" i="3" s="1"/>
  <c r="D53" i="3" s="1"/>
  <c r="E19" i="3"/>
  <c r="E10" i="3"/>
  <c r="F11" i="3" s="1"/>
  <c r="E88" i="3"/>
  <c r="E43" i="3"/>
  <c r="D49" i="3"/>
  <c r="D89" i="3"/>
  <c r="F48" i="3"/>
  <c r="I9" i="3"/>
  <c r="I47" i="3" l="1"/>
  <c r="J46" i="3"/>
  <c r="J45" i="3"/>
  <c r="K45" i="3" s="1"/>
  <c r="F16" i="3"/>
  <c r="F10" i="3" s="1"/>
  <c r="G11" i="3" s="1"/>
  <c r="G16" i="3" s="1"/>
  <c r="G10" i="3" s="1"/>
  <c r="D56" i="3"/>
  <c r="D63" i="3" s="1"/>
  <c r="G12" i="3"/>
  <c r="G15" i="3" s="1"/>
  <c r="F72" i="3"/>
  <c r="D31" i="3"/>
  <c r="D35" i="3" s="1"/>
  <c r="D147" i="3" s="1"/>
  <c r="G48" i="3"/>
  <c r="D27" i="3"/>
  <c r="D87" i="3" s="1"/>
  <c r="D50" i="3"/>
  <c r="D51" i="3" s="1"/>
  <c r="F88" i="3"/>
  <c r="E49" i="3"/>
  <c r="E89" i="3"/>
  <c r="F43" i="3"/>
  <c r="J9" i="3"/>
  <c r="L45" i="3" l="1"/>
  <c r="M45" i="3" s="1"/>
  <c r="F19" i="3"/>
  <c r="J47" i="3"/>
  <c r="K46" i="3"/>
  <c r="L46" i="3" s="1"/>
  <c r="M46" i="3" s="1"/>
  <c r="H12" i="3"/>
  <c r="H15" i="3" s="1"/>
  <c r="G72" i="3"/>
  <c r="D37" i="3"/>
  <c r="D38" i="3" s="1"/>
  <c r="D148" i="3" s="1"/>
  <c r="D60" i="3"/>
  <c r="G19" i="3"/>
  <c r="H11" i="3"/>
  <c r="H16" i="3" s="1"/>
  <c r="G88" i="3"/>
  <c r="H48" i="3"/>
  <c r="G43" i="3"/>
  <c r="F89" i="3"/>
  <c r="F49" i="3"/>
  <c r="K9" i="3"/>
  <c r="K47" i="3" l="1"/>
  <c r="I12" i="3"/>
  <c r="I15" i="3" s="1"/>
  <c r="H72" i="3"/>
  <c r="D61" i="3"/>
  <c r="D58" i="3"/>
  <c r="D64" i="3"/>
  <c r="D117" i="3" s="1"/>
  <c r="H10" i="3"/>
  <c r="I11" i="3" s="1"/>
  <c r="I16" i="3" s="1"/>
  <c r="H19" i="3"/>
  <c r="H88" i="3"/>
  <c r="I48" i="3"/>
  <c r="H43" i="3"/>
  <c r="G49" i="3"/>
  <c r="G89" i="3"/>
  <c r="L9" i="3"/>
  <c r="L47" i="3" l="1"/>
  <c r="M47" i="3" s="1"/>
  <c r="D65" i="3"/>
  <c r="D66" i="3" s="1"/>
  <c r="J12" i="3"/>
  <c r="J15" i="3" s="1"/>
  <c r="I72" i="3"/>
  <c r="E23" i="3"/>
  <c r="E26" i="3" s="1"/>
  <c r="E27" i="3" s="1"/>
  <c r="E87" i="3" s="1"/>
  <c r="D62" i="3"/>
  <c r="D118" i="3" s="1"/>
  <c r="D119" i="3" s="1"/>
  <c r="E59" i="3"/>
  <c r="I19" i="3"/>
  <c r="I10" i="3"/>
  <c r="J11" i="3" s="1"/>
  <c r="J16" i="3" s="1"/>
  <c r="I88" i="3"/>
  <c r="J48" i="3"/>
  <c r="I43" i="3"/>
  <c r="H89" i="3"/>
  <c r="H49" i="3"/>
  <c r="M9" i="3"/>
  <c r="K12" i="3" l="1"/>
  <c r="K15" i="3" s="1"/>
  <c r="J72" i="3"/>
  <c r="E50" i="3"/>
  <c r="E51" i="3" s="1"/>
  <c r="E31" i="3"/>
  <c r="E35" i="3" s="1"/>
  <c r="E41" i="3"/>
  <c r="E44" i="3" s="1"/>
  <c r="E53" i="3" s="1"/>
  <c r="J10" i="3"/>
  <c r="K11" i="3" s="1"/>
  <c r="K16" i="3" s="1"/>
  <c r="J19" i="3"/>
  <c r="J88" i="3"/>
  <c r="J43" i="3"/>
  <c r="I49" i="3"/>
  <c r="I89" i="3"/>
  <c r="K48" i="3"/>
  <c r="E37" i="3" l="1"/>
  <c r="E38" i="3" s="1"/>
  <c r="E148" i="3" s="1"/>
  <c r="E147" i="3"/>
  <c r="E56" i="3"/>
  <c r="E63" i="3" s="1"/>
  <c r="E60" i="3" s="1"/>
  <c r="E58" i="3" s="1"/>
  <c r="L12" i="3"/>
  <c r="L15" i="3" s="1"/>
  <c r="K72" i="3"/>
  <c r="K19" i="3"/>
  <c r="K10" i="3"/>
  <c r="L11" i="3" s="1"/>
  <c r="L16" i="3" s="1"/>
  <c r="K88" i="3"/>
  <c r="J89" i="3"/>
  <c r="J49" i="3"/>
  <c r="L48" i="3"/>
  <c r="K43" i="3"/>
  <c r="E61" i="3" l="1"/>
  <c r="E64" i="3"/>
  <c r="E117" i="3" s="1"/>
  <c r="M12" i="3"/>
  <c r="M15" i="3" s="1"/>
  <c r="L72" i="3"/>
  <c r="L19" i="3"/>
  <c r="L10" i="3"/>
  <c r="M11" i="3" s="1"/>
  <c r="M16" i="3" s="1"/>
  <c r="M88" i="3"/>
  <c r="L88" i="3"/>
  <c r="M43" i="3"/>
  <c r="L43" i="3"/>
  <c r="K89" i="3"/>
  <c r="K49" i="3"/>
  <c r="M48" i="3"/>
  <c r="M72" i="3" l="1"/>
  <c r="E65" i="3"/>
  <c r="E66" i="3" s="1"/>
  <c r="F23" i="3"/>
  <c r="F26" i="3" s="1"/>
  <c r="F27" i="3" s="1"/>
  <c r="F87" i="3" s="1"/>
  <c r="E62" i="3"/>
  <c r="E118" i="3" s="1"/>
  <c r="E119" i="3" s="1"/>
  <c r="F59" i="3"/>
  <c r="M10" i="3"/>
  <c r="M19" i="3"/>
  <c r="L89" i="3"/>
  <c r="L49" i="3"/>
  <c r="M89" i="3"/>
  <c r="M49" i="3"/>
  <c r="F31" i="3" l="1"/>
  <c r="F35" i="3" s="1"/>
  <c r="F41" i="3"/>
  <c r="F44" i="3" s="1"/>
  <c r="F53" i="3" s="1"/>
  <c r="F56" i="3" s="1"/>
  <c r="F63" i="3" s="1"/>
  <c r="F50" i="3"/>
  <c r="F51" i="3" s="1"/>
  <c r="F37" i="3" l="1"/>
  <c r="F38" i="3" s="1"/>
  <c r="F148" i="3" s="1"/>
  <c r="F147" i="3"/>
  <c r="F60" i="3"/>
  <c r="F64" i="3"/>
  <c r="F117" i="3" s="1"/>
  <c r="F58" i="3" l="1"/>
  <c r="F61" i="3"/>
  <c r="F65" i="3" s="1"/>
  <c r="G59" i="3" l="1"/>
  <c r="F62" i="3"/>
  <c r="F118" i="3" s="1"/>
  <c r="F119" i="3" s="1"/>
  <c r="F66" i="3"/>
  <c r="G23" i="3"/>
  <c r="G26" i="3" s="1"/>
  <c r="G31" i="3" l="1"/>
  <c r="G35" i="3" s="1"/>
  <c r="G27" i="3"/>
  <c r="G87" i="3" s="1"/>
  <c r="G41" i="3"/>
  <c r="G44" i="3" s="1"/>
  <c r="G53" i="3" s="1"/>
  <c r="G50" i="3"/>
  <c r="G51" i="3" s="1"/>
  <c r="G37" i="3" l="1"/>
  <c r="G38" i="3" s="1"/>
  <c r="G148" i="3" s="1"/>
  <c r="G147" i="3"/>
  <c r="G56" i="3"/>
  <c r="G63" i="3" s="1"/>
  <c r="G60" i="3" l="1"/>
  <c r="G64" i="3"/>
  <c r="G117" i="3" s="1"/>
  <c r="G58" i="3" l="1"/>
  <c r="G61" i="3"/>
  <c r="G65" i="3" s="1"/>
  <c r="H23" i="3" l="1"/>
  <c r="H26" i="3" s="1"/>
  <c r="H59" i="3"/>
  <c r="G62" i="3"/>
  <c r="G118" i="3" s="1"/>
  <c r="G119" i="3" s="1"/>
  <c r="G66" i="3"/>
  <c r="H50" i="3" l="1"/>
  <c r="H51" i="3" s="1"/>
  <c r="H41" i="3"/>
  <c r="H44" i="3" s="1"/>
  <c r="H53" i="3" s="1"/>
  <c r="H56" i="3" s="1"/>
  <c r="H63" i="3" s="1"/>
  <c r="H27" i="3"/>
  <c r="H87" i="3" s="1"/>
  <c r="H31" i="3"/>
  <c r="H35" i="3" s="1"/>
  <c r="H37" i="3" l="1"/>
  <c r="H38" i="3" s="1"/>
  <c r="H148" i="3" s="1"/>
  <c r="H147" i="3"/>
  <c r="H60" i="3"/>
  <c r="H64" i="3"/>
  <c r="H117" i="3" s="1"/>
  <c r="H58" i="3" l="1"/>
  <c r="H61" i="3"/>
  <c r="H65" i="3" s="1"/>
  <c r="H62" i="3" l="1"/>
  <c r="H118" i="3" s="1"/>
  <c r="H119" i="3" s="1"/>
  <c r="I59" i="3"/>
  <c r="I23" i="3"/>
  <c r="I26" i="3" s="1"/>
  <c r="H66" i="3"/>
  <c r="I27" i="3" l="1"/>
  <c r="I87" i="3" s="1"/>
  <c r="I41" i="3"/>
  <c r="I44" i="3" s="1"/>
  <c r="I53" i="3" s="1"/>
  <c r="I56" i="3" s="1"/>
  <c r="I63" i="3" s="1"/>
  <c r="I50" i="3"/>
  <c r="I51" i="3" s="1"/>
  <c r="I31" i="3"/>
  <c r="I35" i="3" s="1"/>
  <c r="I37" i="3" l="1"/>
  <c r="I38" i="3" s="1"/>
  <c r="I148" i="3" s="1"/>
  <c r="I147" i="3"/>
  <c r="I60" i="3"/>
  <c r="I64" i="3"/>
  <c r="I117" i="3" s="1"/>
  <c r="I58" i="3" l="1"/>
  <c r="I61" i="3"/>
  <c r="I65" i="3" s="1"/>
  <c r="J23" i="3" l="1"/>
  <c r="J26" i="3" s="1"/>
  <c r="I62" i="3"/>
  <c r="I118" i="3" s="1"/>
  <c r="I119" i="3" s="1"/>
  <c r="J59" i="3"/>
  <c r="I66" i="3"/>
  <c r="J27" i="3" l="1"/>
  <c r="J87" i="3" s="1"/>
  <c r="J50" i="3"/>
  <c r="J51" i="3" s="1"/>
  <c r="J41" i="3"/>
  <c r="J44" i="3" s="1"/>
  <c r="J53" i="3" s="1"/>
  <c r="J56" i="3" s="1"/>
  <c r="J31" i="3"/>
  <c r="J35" i="3" s="1"/>
  <c r="J37" i="3" l="1"/>
  <c r="J38" i="3" s="1"/>
  <c r="J148" i="3" s="1"/>
  <c r="J147" i="3"/>
  <c r="J63" i="3"/>
  <c r="J64" i="3" l="1"/>
  <c r="J117" i="3" s="1"/>
  <c r="J60" i="3"/>
  <c r="J58" i="3" l="1"/>
  <c r="J61" i="3"/>
  <c r="J65" i="3" s="1"/>
  <c r="K59" i="3" l="1"/>
  <c r="K23" i="3"/>
  <c r="K26" i="3" s="1"/>
  <c r="J62" i="3"/>
  <c r="J118" i="3" s="1"/>
  <c r="J119" i="3" s="1"/>
  <c r="J66" i="3"/>
  <c r="K41" i="3" l="1"/>
  <c r="K44" i="3" s="1"/>
  <c r="K53" i="3" s="1"/>
  <c r="K56" i="3" s="1"/>
  <c r="K31" i="3"/>
  <c r="K35" i="3" s="1"/>
  <c r="K27" i="3"/>
  <c r="K87" i="3" s="1"/>
  <c r="K50" i="3"/>
  <c r="K51" i="3" s="1"/>
  <c r="K37" i="3" l="1"/>
  <c r="K38" i="3" s="1"/>
  <c r="K148" i="3" s="1"/>
  <c r="K147" i="3"/>
  <c r="K63" i="3"/>
  <c r="K60" i="3" s="1"/>
  <c r="K61" i="3" l="1"/>
  <c r="K58" i="3"/>
  <c r="K64" i="3"/>
  <c r="K117" i="3" s="1"/>
  <c r="K65" i="3" l="1"/>
  <c r="K66" i="3" s="1"/>
  <c r="L59" i="3"/>
  <c r="K62" i="3"/>
  <c r="K118" i="3" s="1"/>
  <c r="K119" i="3" s="1"/>
  <c r="L23" i="3"/>
  <c r="L26" i="3" s="1"/>
  <c r="L50" i="3" l="1"/>
  <c r="L51" i="3" s="1"/>
  <c r="L41" i="3"/>
  <c r="L44" i="3" s="1"/>
  <c r="L53" i="3" s="1"/>
  <c r="L56" i="3" s="1"/>
  <c r="L63" i="3" s="1"/>
  <c r="L27" i="3"/>
  <c r="L87" i="3" s="1"/>
  <c r="L31" i="3"/>
  <c r="L35" i="3" s="1"/>
  <c r="L37" i="3" l="1"/>
  <c r="L38" i="3" s="1"/>
  <c r="L148" i="3" s="1"/>
  <c r="L147" i="3"/>
  <c r="L60" i="3"/>
  <c r="L64" i="3"/>
  <c r="L117" i="3" s="1"/>
  <c r="L58" i="3" l="1"/>
  <c r="L61" i="3"/>
  <c r="L65" i="3" s="1"/>
  <c r="M59" i="3" l="1"/>
  <c r="M23" i="3"/>
  <c r="M26" i="3" s="1"/>
  <c r="L66" i="3"/>
  <c r="L62" i="3"/>
  <c r="L118" i="3" s="1"/>
  <c r="L119" i="3" s="1"/>
  <c r="M31" i="3" l="1"/>
  <c r="M35" i="3" s="1"/>
  <c r="M41" i="3"/>
  <c r="M44" i="3" s="1"/>
  <c r="M53" i="3" s="1"/>
  <c r="M56" i="3" s="1"/>
  <c r="M50" i="3"/>
  <c r="M51" i="3" s="1"/>
  <c r="M27" i="3"/>
  <c r="M87" i="3" s="1"/>
  <c r="M37" i="3" l="1"/>
  <c r="M38" i="3" s="1"/>
  <c r="M148" i="3" s="1"/>
  <c r="M147" i="3"/>
  <c r="M63" i="3"/>
  <c r="M64" i="3" s="1"/>
  <c r="M117" i="3" s="1"/>
  <c r="M60" i="3" l="1"/>
  <c r="M61" i="3" s="1"/>
  <c r="M65" i="3" s="1"/>
  <c r="M58" i="3" l="1"/>
  <c r="M66" i="3"/>
  <c r="M62" i="3"/>
  <c r="M118" i="3" s="1"/>
  <c r="M119" i="3" s="1"/>
</calcChain>
</file>

<file path=xl/sharedStrings.xml><?xml version="1.0" encoding="utf-8"?>
<sst xmlns="http://schemas.openxmlformats.org/spreadsheetml/2006/main" count="1158" uniqueCount="479">
  <si>
    <t>Nettoinvestoinnit</t>
  </si>
  <si>
    <t>Yhteisöverot</t>
  </si>
  <si>
    <t>Kiinteistöverot</t>
  </si>
  <si>
    <t>Veroprosentti</t>
  </si>
  <si>
    <t>Toimintatuotot</t>
  </si>
  <si>
    <t>Toimintakulut</t>
  </si>
  <si>
    <t>Verotulot</t>
  </si>
  <si>
    <t>Valtionavut</t>
  </si>
  <si>
    <t>Korkotuotot</t>
  </si>
  <si>
    <t>Muut rahoitustuotot</t>
  </si>
  <si>
    <t>Korkokulut</t>
  </si>
  <si>
    <t>Muut rahoituskulut</t>
  </si>
  <si>
    <t>VUOSIKATE</t>
  </si>
  <si>
    <t>Kunnallisverot</t>
  </si>
  <si>
    <t>Puumala</t>
  </si>
  <si>
    <t>Toimintakate</t>
  </si>
  <si>
    <t>Poistot ja arvonalent.</t>
  </si>
  <si>
    <t>Tlikauden yli-/alijäämä</t>
  </si>
  <si>
    <t>Satunnaiset tuotot</t>
  </si>
  <si>
    <t>Satunnaiset kulut</t>
  </si>
  <si>
    <t>Tlikauden tulos</t>
  </si>
  <si>
    <t xml:space="preserve">Lainakanta </t>
  </si>
  <si>
    <t>Kemi</t>
  </si>
  <si>
    <t>Oulainen</t>
  </si>
  <si>
    <t>Vaala</t>
  </si>
  <si>
    <t>Poistoeron lisäys(-) tai väh.(+)</t>
  </si>
  <si>
    <t>Varausten lisäys(-) tai väh.(+)</t>
  </si>
  <si>
    <t>Rahastojen lisäys(-) tai väh.(+)</t>
  </si>
  <si>
    <t>vero-% yksikön tuotto</t>
  </si>
  <si>
    <t xml:space="preserve"> -&gt; noston vaikutus</t>
  </si>
  <si>
    <t>€/as</t>
  </si>
  <si>
    <t xml:space="preserve"> €/as</t>
  </si>
  <si>
    <t>Vuosikate</t>
  </si>
  <si>
    <t>Vuosikate-nettoinv.</t>
  </si>
  <si>
    <t>Rahavarat</t>
  </si>
  <si>
    <t>Lainakanta</t>
  </si>
  <si>
    <t>Kunta nro.</t>
  </si>
  <si>
    <t>Kunta</t>
  </si>
  <si>
    <t>Alajärvi</t>
  </si>
  <si>
    <t>Alavieska</t>
  </si>
  <si>
    <t>Alavus</t>
  </si>
  <si>
    <t>Asikkala</t>
  </si>
  <si>
    <t>Askola</t>
  </si>
  <si>
    <t>Aura</t>
  </si>
  <si>
    <t>Enonkoski</t>
  </si>
  <si>
    <t>Enontekiö</t>
  </si>
  <si>
    <t>Espoo</t>
  </si>
  <si>
    <t>Eura</t>
  </si>
  <si>
    <t>Eurajoki</t>
  </si>
  <si>
    <t>Evijärvi</t>
  </si>
  <si>
    <t>Forssa</t>
  </si>
  <si>
    <t>Haapajärvi</t>
  </si>
  <si>
    <t>Haapavesi</t>
  </si>
  <si>
    <t>Hailuoto</t>
  </si>
  <si>
    <t>Halsua</t>
  </si>
  <si>
    <t>Hamina</t>
  </si>
  <si>
    <t>Hankasalmi</t>
  </si>
  <si>
    <t>Hanko</t>
  </si>
  <si>
    <t>Harjavalta</t>
  </si>
  <si>
    <t>Hartola</t>
  </si>
  <si>
    <t>Hattula</t>
  </si>
  <si>
    <t>Hausjärvi</t>
  </si>
  <si>
    <t>Heinola</t>
  </si>
  <si>
    <t>Heinävesi</t>
  </si>
  <si>
    <t>Helsinki</t>
  </si>
  <si>
    <t>Hirvensalmi</t>
  </si>
  <si>
    <t>Hollola</t>
  </si>
  <si>
    <t>Huittinen</t>
  </si>
  <si>
    <t>Humppila</t>
  </si>
  <si>
    <t>Hyrynsalmi</t>
  </si>
  <si>
    <t>Hyvinkää</t>
  </si>
  <si>
    <t>Hämeenkyrö</t>
  </si>
  <si>
    <t>Hämeenlinna</t>
  </si>
  <si>
    <t>Ii</t>
  </si>
  <si>
    <t>Iisalmi</t>
  </si>
  <si>
    <t>Iitti</t>
  </si>
  <si>
    <t>Ikaalinen</t>
  </si>
  <si>
    <t>Ilmajoki</t>
  </si>
  <si>
    <t>Ilomantsi</t>
  </si>
  <si>
    <t>Imatra</t>
  </si>
  <si>
    <t>Inari</t>
  </si>
  <si>
    <t>Inkoo</t>
  </si>
  <si>
    <t>Isojoki</t>
  </si>
  <si>
    <t>Isokyrö</t>
  </si>
  <si>
    <t>Janakkala</t>
  </si>
  <si>
    <t>Joensuu</t>
  </si>
  <si>
    <t>Jokioinen</t>
  </si>
  <si>
    <t>Joroinen</t>
  </si>
  <si>
    <t>Joutsa</t>
  </si>
  <si>
    <t>Juuka</t>
  </si>
  <si>
    <t>Juupajoki</t>
  </si>
  <si>
    <t>Juva</t>
  </si>
  <si>
    <t>Jyväskylä</t>
  </si>
  <si>
    <t>Jämijärvi</t>
  </si>
  <si>
    <t>Jämsä</t>
  </si>
  <si>
    <t>Järvenpää</t>
  </si>
  <si>
    <t>Kaarina</t>
  </si>
  <si>
    <t>Kaavi</t>
  </si>
  <si>
    <t>Kajaani</t>
  </si>
  <si>
    <t>Kalajoki</t>
  </si>
  <si>
    <t>Kangasala</t>
  </si>
  <si>
    <t>Kangasniemi</t>
  </si>
  <si>
    <t>Kankaanpää</t>
  </si>
  <si>
    <t>Kannonkoski</t>
  </si>
  <si>
    <t>Kannus</t>
  </si>
  <si>
    <t>Karijoki</t>
  </si>
  <si>
    <t>Karkkila</t>
  </si>
  <si>
    <t>Karstula</t>
  </si>
  <si>
    <t>Karvia</t>
  </si>
  <si>
    <t>Kaskinen</t>
  </si>
  <si>
    <t>Kauhajoki</t>
  </si>
  <si>
    <t>Kauhava</t>
  </si>
  <si>
    <t>Kauniainen</t>
  </si>
  <si>
    <t>Kaustinen</t>
  </si>
  <si>
    <t>Keitele</t>
  </si>
  <si>
    <t>Kemijärvi</t>
  </si>
  <si>
    <t>Keminmaa</t>
  </si>
  <si>
    <t>Kempele</t>
  </si>
  <si>
    <t>Kerava</t>
  </si>
  <si>
    <t>Keuruu</t>
  </si>
  <si>
    <t>Kihniö</t>
  </si>
  <si>
    <t>Kinnula</t>
  </si>
  <si>
    <t>Kirkkonummi</t>
  </si>
  <si>
    <t>Kitee</t>
  </si>
  <si>
    <t>Kittilä</t>
  </si>
  <si>
    <t>Kiuruvesi</t>
  </si>
  <si>
    <t>Kivijärvi</t>
  </si>
  <si>
    <t>Kokemäki</t>
  </si>
  <si>
    <t>Kokkola</t>
  </si>
  <si>
    <t>Kolari</t>
  </si>
  <si>
    <t>Konnevesi</t>
  </si>
  <si>
    <t>Kontiolahti</t>
  </si>
  <si>
    <t>Korsnäs</t>
  </si>
  <si>
    <t>Koski tl</t>
  </si>
  <si>
    <t>Kotka</t>
  </si>
  <si>
    <t>Kouvola</t>
  </si>
  <si>
    <t>Kruunupyy</t>
  </si>
  <si>
    <t>Kuhmo</t>
  </si>
  <si>
    <t>Kuhmoinen</t>
  </si>
  <si>
    <t>Kuopio</t>
  </si>
  <si>
    <t>Kuortane</t>
  </si>
  <si>
    <t>Kurikka</t>
  </si>
  <si>
    <t>Kustavi</t>
  </si>
  <si>
    <t>Kuusamo</t>
  </si>
  <si>
    <t>Kyyjärvi</t>
  </si>
  <si>
    <t>Kärkölä</t>
  </si>
  <si>
    <t>Kärsämäki</t>
  </si>
  <si>
    <t>Lahti</t>
  </si>
  <si>
    <t>Laihia</t>
  </si>
  <si>
    <t>Laitila</t>
  </si>
  <si>
    <t>Lapinjärvi</t>
  </si>
  <si>
    <t>Lapinlahti</t>
  </si>
  <si>
    <t>Lappajärvi</t>
  </si>
  <si>
    <t>Lappeenranta</t>
  </si>
  <si>
    <t>Lapua</t>
  </si>
  <si>
    <t>Laukaa</t>
  </si>
  <si>
    <t>Lemi</t>
  </si>
  <si>
    <t>Lempäälä</t>
  </si>
  <si>
    <t>Leppävirta</t>
  </si>
  <si>
    <t>Lestijärvi</t>
  </si>
  <si>
    <t>Lieksa</t>
  </si>
  <si>
    <t>Lieto</t>
  </si>
  <si>
    <t>Liminka</t>
  </si>
  <si>
    <t>Liperi</t>
  </si>
  <si>
    <t>Lohja</t>
  </si>
  <si>
    <t>Loimaa</t>
  </si>
  <si>
    <t>Loppi</t>
  </si>
  <si>
    <t>Loviisa</t>
  </si>
  <si>
    <t>Luhanka</t>
  </si>
  <si>
    <t>Lumijoki</t>
  </si>
  <si>
    <t>Luoto</t>
  </si>
  <si>
    <t>Luumäki</t>
  </si>
  <si>
    <t>Maalahti</t>
  </si>
  <si>
    <t>Marttila</t>
  </si>
  <si>
    <t>Masku</t>
  </si>
  <si>
    <t>Merijärvi</t>
  </si>
  <si>
    <t>Merikarvia</t>
  </si>
  <si>
    <t>Miehikkälä</t>
  </si>
  <si>
    <t>Mikkeli</t>
  </si>
  <si>
    <t>Muhos</t>
  </si>
  <si>
    <t>Multia</t>
  </si>
  <si>
    <t>Muonio</t>
  </si>
  <si>
    <t>Mustasaari</t>
  </si>
  <si>
    <t>Muurame</t>
  </si>
  <si>
    <t>Mynämäki</t>
  </si>
  <si>
    <t>Myrskylä</t>
  </si>
  <si>
    <t>Mäntsälä</t>
  </si>
  <si>
    <t>Mäntyharju</t>
  </si>
  <si>
    <t>Naantali</t>
  </si>
  <si>
    <t>Nakkila</t>
  </si>
  <si>
    <t>Nivala</t>
  </si>
  <si>
    <t>Nokia</t>
  </si>
  <si>
    <t>Nousiainen</t>
  </si>
  <si>
    <t>Nurmes</t>
  </si>
  <si>
    <t>Nurmijärvi</t>
  </si>
  <si>
    <t>Närpiö</t>
  </si>
  <si>
    <t>Orimattila</t>
  </si>
  <si>
    <t>Oripää</t>
  </si>
  <si>
    <t>Orivesi</t>
  </si>
  <si>
    <t>Oulu</t>
  </si>
  <si>
    <t>Outokumpu</t>
  </si>
  <si>
    <t>Padasjoki</t>
  </si>
  <si>
    <t>Paimio</t>
  </si>
  <si>
    <t>Paltamo</t>
  </si>
  <si>
    <t>Parikkala</t>
  </si>
  <si>
    <t>Parkano</t>
  </si>
  <si>
    <t>Pedersören kunta</t>
  </si>
  <si>
    <t>Pelkosenniemi</t>
  </si>
  <si>
    <t>Pello</t>
  </si>
  <si>
    <t>Perho</t>
  </si>
  <si>
    <t>Pertunmaa</t>
  </si>
  <si>
    <t>Petäjävesi</t>
  </si>
  <si>
    <t>Pieksämäki</t>
  </si>
  <si>
    <t>Pielavesi</t>
  </si>
  <si>
    <t>Pietarsaari</t>
  </si>
  <si>
    <t>Pihtipudas</t>
  </si>
  <si>
    <t>Pirkkala</t>
  </si>
  <si>
    <t>Polvijärvi</t>
  </si>
  <si>
    <t>Pomarkku</t>
  </si>
  <si>
    <t>Pori</t>
  </si>
  <si>
    <t>Pornainen</t>
  </si>
  <si>
    <t>Porvoo</t>
  </si>
  <si>
    <t>Posio</t>
  </si>
  <si>
    <t>Pudasjärvi</t>
  </si>
  <si>
    <t>Pukkila</t>
  </si>
  <si>
    <t>Punkalaidun</t>
  </si>
  <si>
    <t>Puolanka</t>
  </si>
  <si>
    <t>Pyhtää</t>
  </si>
  <si>
    <t>Pyhäjoki</t>
  </si>
  <si>
    <t>Pyhäjärvi</t>
  </si>
  <si>
    <t>Pyhäntä</t>
  </si>
  <si>
    <t>Pyhäranta</t>
  </si>
  <si>
    <t>Pälkäne</t>
  </si>
  <si>
    <t>Pöytyä</t>
  </si>
  <si>
    <t>Raahe</t>
  </si>
  <si>
    <t>Raisio</t>
  </si>
  <si>
    <t>Rantasalmi</t>
  </si>
  <si>
    <t>Ranua</t>
  </si>
  <si>
    <t>Rauma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</si>
  <si>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</si>
  <si>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</si>
  <si>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</si>
  <si>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</si>
  <si>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</si>
  <si>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</si>
  <si>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</si>
  <si>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Ruokolahti</t>
  </si>
  <si>
    <t>Ruovesi</t>
  </si>
  <si>
    <t>Rusko</t>
  </si>
  <si>
    <t>Rääkkylä</t>
  </si>
  <si>
    <t>Saarijärvi</t>
  </si>
  <si>
    <t>Salla</t>
  </si>
  <si>
    <t>Salo</t>
  </si>
  <si>
    <t>Sauvo</t>
  </si>
  <si>
    <t>Savitaipale</t>
  </si>
  <si>
    <t>Savonlinna</t>
  </si>
  <si>
    <t>Savukoski</t>
  </si>
  <si>
    <t>Seinäjoki</t>
  </si>
  <si>
    <t>Sievi</t>
  </si>
  <si>
    <t>Siikainen</t>
  </si>
  <si>
    <t>Siikajoki</t>
  </si>
  <si>
    <t>Siilinjärvi</t>
  </si>
  <si>
    <t>Simo</t>
  </si>
  <si>
    <t>Sipoo</t>
  </si>
  <si>
    <t>Siuntio</t>
  </si>
  <si>
    <t>Sodankylä</t>
  </si>
  <si>
    <t>Soini</t>
  </si>
  <si>
    <t>Somero</t>
  </si>
  <si>
    <t>Sonkajärvi</t>
  </si>
  <si>
    <t>Sotkamo</t>
  </si>
  <si>
    <t>Sulkava</t>
  </si>
  <si>
    <t>Suomussalmi</t>
  </si>
  <si>
    <t>Suonenjoki</t>
  </si>
  <si>
    <t>Sysmä</t>
  </si>
  <si>
    <t>Säkylä</t>
  </si>
  <si>
    <t>Taipalsaari</t>
  </si>
  <si>
    <t>Taivalkoski</t>
  </si>
  <si>
    <t>Taivassalo</t>
  </si>
  <si>
    <t>Tammela</t>
  </si>
  <si>
    <t>Tampere</t>
  </si>
  <si>
    <t>Tervo</t>
  </si>
  <si>
    <t>Tervola</t>
  </si>
  <si>
    <t>Teuva</t>
  </si>
  <si>
    <t>Tohmajärvi</t>
  </si>
  <si>
    <t>Toholampi</t>
  </si>
  <si>
    <t>Toivakka</t>
  </si>
  <si>
    <t>Tornio</t>
  </si>
  <si>
    <t>Turku</t>
  </si>
  <si>
    <t>Tuusniemi</t>
  </si>
  <si>
    <t>Tuusula</t>
  </si>
  <si>
    <t>Tyrnävä</t>
  </si>
  <si>
    <t>Ulvila</t>
  </si>
  <si>
    <t>Urjala</t>
  </si>
  <si>
    <t>Utajärvi</t>
  </si>
  <si>
    <t>Utsjoki</t>
  </si>
  <si>
    <t>Uurainen</t>
  </si>
  <si>
    <t>Uusikaarlepyy</t>
  </si>
  <si>
    <t>Uusikaupunki</t>
  </si>
  <si>
    <t>Vaasa</t>
  </si>
  <si>
    <t>Valkeakoski</t>
  </si>
  <si>
    <t>Vantaa</t>
  </si>
  <si>
    <t>Varkaus</t>
  </si>
  <si>
    <t>Vehmaa</t>
  </si>
  <si>
    <t>Vesanto</t>
  </si>
  <si>
    <t>Vesilahti</t>
  </si>
  <si>
    <t>Veteli</t>
  </si>
  <si>
    <t>Vieremä</t>
  </si>
  <si>
    <t>Vihti</t>
  </si>
  <si>
    <t>Viitasaari</t>
  </si>
  <si>
    <t>Vimpeli</t>
  </si>
  <si>
    <t>Virolahti</t>
  </si>
  <si>
    <t>Virrat</t>
  </si>
  <si>
    <t>Ylitornio</t>
  </si>
  <si>
    <t>Ylivieska</t>
  </si>
  <si>
    <t>Ylöjärvi</t>
  </si>
  <si>
    <t>Ypäjä</t>
  </si>
  <si>
    <t>Ähtäri</t>
  </si>
  <si>
    <t>Äänekoski</t>
  </si>
  <si>
    <t>Akaa</t>
  </si>
  <si>
    <t>Koski</t>
  </si>
  <si>
    <t>Kristiinankaupunki</t>
  </si>
  <si>
    <t>SYÖTÄ HALUAMASI KASVUPROSENTIT!</t>
  </si>
  <si>
    <t>TULOSLASKELMA</t>
  </si>
  <si>
    <t>Valtionosuudet</t>
  </si>
  <si>
    <t>vos-hava</t>
  </si>
  <si>
    <t>Valtionosuudet (pl. hark.var.)</t>
  </si>
  <si>
    <t>Asukasluku 31.12.</t>
  </si>
  <si>
    <t>Lainanlisäystarve</t>
  </si>
  <si>
    <t>TAUSTAMUUTTUJAT:</t>
  </si>
  <si>
    <t>Lainanlyhennykset</t>
  </si>
  <si>
    <t>Nettovelka</t>
  </si>
  <si>
    <t>KUNNAN TALOUDEN SUUNNITTELUKEHIKKO</t>
  </si>
  <si>
    <t>veroprosenttiyksikön tuoton perusteella).</t>
  </si>
  <si>
    <t>Käyttäjä voi muokata vaaleansinisellä pohjalla olevia kohtia (soluja).</t>
  </si>
  <si>
    <t xml:space="preserve">Korkokulujen kehitys perustuu edellisvuoden lainamäärään ja valittuun korkokantaan. Korkoprosentti (keskim.) </t>
  </si>
  <si>
    <t>voidaan siis valita halutun mukaiseksi. Korkoprosentti ei vaikuta korkotuottoihin, vaan sen perustuu ed. vuoden määrään.</t>
  </si>
  <si>
    <t>Asukasluku:</t>
  </si>
  <si>
    <t>Tuloveroprosentti:</t>
  </si>
  <si>
    <t>Tuloslaskelma:</t>
  </si>
  <si>
    <t>TASEESTA</t>
  </si>
  <si>
    <t>Rahoituslaskelma ja tase:</t>
  </si>
  <si>
    <t>taseen alijäämä tulisi katetuksi valituilla tuloslaskelman kasvuoletuksilla (vrt. kuntalaki ja alijäämän kattamisvelvollisuus).</t>
  </si>
  <si>
    <t>on esimerkiksi 8 vuotta, niin vuosittainen lainanlyhennys on 1/8 (12,5 %) edellisvuoden lainamäärästä. Lainanlyhennys</t>
  </si>
  <si>
    <t>Nettovelka (rahat-lainat)</t>
  </si>
  <si>
    <t>VALITSE KUNTA:</t>
  </si>
  <si>
    <t>Rahoituslaskelman ja taseen erät pohjautuvat jäljempänä selostettuihin olettamuksiin</t>
  </si>
  <si>
    <t>(pl. taseen kertynyt yli-/alijäämä = ed. tilikausien yli-/alijäämä + tilikauden yli-/alijäämä).</t>
  </si>
  <si>
    <t>Vaikutus korkomenoihin, ei korkotuloihin</t>
  </si>
  <si>
    <t>Esim. lainanlyhennysaika 8 vuotta, jolloin vuosilyhennys = 1/8 eli 12,5 % * lainamäärä</t>
  </si>
  <si>
    <t>Kemiönsaari</t>
  </si>
  <si>
    <t>Mänttä-Vilppula</t>
  </si>
  <si>
    <t>Raasepori</t>
  </si>
  <si>
    <t>Siikalatva</t>
  </si>
  <si>
    <t>Sastamala</t>
  </si>
  <si>
    <t>Tilikauden tulos</t>
  </si>
  <si>
    <t>hava</t>
  </si>
  <si>
    <t>VALITSE KESKIMÄÄR. LAINANLYHENNYSAIKA (VUODET):</t>
  </si>
  <si>
    <t>VALITSE KESKIMÄÄR. KORKOKANTA (KORKOPROSENTTI):</t>
  </si>
  <si>
    <t xml:space="preserve">Yhteisöverot  </t>
  </si>
  <si>
    <t>€/asukas</t>
  </si>
  <si>
    <t xml:space="preserve"> €/asukas</t>
  </si>
  <si>
    <t>Tilikauden yli-/alijäämä</t>
  </si>
  <si>
    <t>Tulorahoituksen korjauserät</t>
  </si>
  <si>
    <t>Tulorah.korjauserät</t>
  </si>
  <si>
    <t>Satunnaiset erät, netto</t>
  </si>
  <si>
    <t>Investointimenot</t>
  </si>
  <si>
    <t>Rahoitusosuudet investointeihin</t>
  </si>
  <si>
    <t>Inv.hyödykkeiden luovutustulot</t>
  </si>
  <si>
    <t xml:space="preserve"> = 2. Nettoinvestoinnit</t>
  </si>
  <si>
    <t>Muutos ed. vuodesta, %:</t>
  </si>
  <si>
    <t xml:space="preserve"> (1. Tulorahoitus+ 2.Nettoinv.)</t>
  </si>
  <si>
    <t>Lainamäärän muutos;</t>
  </si>
  <si>
    <t>Syötä muutos-</t>
  </si>
  <si>
    <t>Kertynyt yli-/alijäämä</t>
  </si>
  <si>
    <t>Kehikon käyttötarkoitus:</t>
  </si>
  <si>
    <t>Myös tuloveroprosenttia, investointeja ja antolainasaamisten määrää voidaan muuttaa.</t>
  </si>
  <si>
    <t>Kehikon laskentapohja:</t>
  </si>
  <si>
    <t>tilinpäätöksen mukaiset, mutta ne ovat myös muutettavissa.</t>
  </si>
  <si>
    <t>Vuorovaikutteinen kunnan talouden suunnittelun apuväline. Kehikon avulla voidaan suunnitella kunnan talouden</t>
  </si>
  <si>
    <t xml:space="preserve">Vöyri </t>
  </si>
  <si>
    <t>Harkvar10</t>
  </si>
  <si>
    <t>Parainen</t>
  </si>
  <si>
    <t>Muokkaa vaaleansinisellä olevia kohtia.</t>
  </si>
  <si>
    <t>Satu. tuotot</t>
  </si>
  <si>
    <t>Satu. kulut</t>
  </si>
  <si>
    <t xml:space="preserve">Asukasluku </t>
  </si>
  <si>
    <t>Asukasluku</t>
  </si>
  <si>
    <t xml:space="preserve">valmistunutta tilinpäätöstä. </t>
  </si>
  <si>
    <t>Tulevan kehityksen osalta tuloslaskelman erien kasvuolettamukset pohjautuvat lähtökohtaisesti</t>
  </si>
  <si>
    <t>Antolainauksen muutokset</t>
  </si>
  <si>
    <t>KOKO MAA (Manner-Suomi)</t>
  </si>
  <si>
    <t>prosentit syötetään</t>
  </si>
  <si>
    <t>alla olevaan taulukkoon</t>
  </si>
  <si>
    <t>Näiden erien muutos-</t>
  </si>
  <si>
    <t>2) kunnallisverot (pl. veroprosentin noston vaikutus),</t>
  </si>
  <si>
    <t>3) yhteisöverot,</t>
  </si>
  <si>
    <t>4) kiinteistöverot ja</t>
  </si>
  <si>
    <t>Lainakanta  2021</t>
  </si>
  <si>
    <t>Rahavarat 2021</t>
  </si>
  <si>
    <t>VM/KAO</t>
  </si>
  <si>
    <t xml:space="preserve"> - Investointimenot</t>
  </si>
  <si>
    <t xml:space="preserve"> + Rahoitusosuudet investointimenoihin</t>
  </si>
  <si>
    <t xml:space="preserve"> + Investointihyödykkeiden luovutustulot</t>
  </si>
  <si>
    <t>oletuksena nolla -&gt; syötä oma arvio</t>
  </si>
  <si>
    <t>Positiivinen arvo=nettovähennys.Oletuksena nolla -&gt; syötä oma arvio</t>
  </si>
  <si>
    <t>oletuksena viimeisin toteumatieto -&gt; syötä oma arvio</t>
  </si>
  <si>
    <t>prosentit (muuta oletusarvoja tarpeen mukaan):</t>
  </si>
  <si>
    <t>tulovero-%</t>
  </si>
  <si>
    <t>KOKO MAA</t>
  </si>
  <si>
    <t>Koski Tl</t>
  </si>
  <si>
    <t>Vöyri</t>
  </si>
  <si>
    <t>4. Nettorahoitustarve</t>
  </si>
  <si>
    <t>Valtionosuudet, ml hark.var.</t>
  </si>
  <si>
    <t xml:space="preserve"> → muutoksen vaikutus</t>
  </si>
  <si>
    <t xml:space="preserve"> = 1. Toiminnan rahavirta</t>
  </si>
  <si>
    <t xml:space="preserve"> = 3. Toim. ja inv. rahavirta</t>
  </si>
  <si>
    <r>
      <t xml:space="preserve">Nettorahoitustarve </t>
    </r>
    <r>
      <rPr>
        <sz val="10"/>
        <rFont val="Arial"/>
        <family val="2"/>
      </rPr>
      <t>muodostuu seuraavista eristä = Vuosikate + tulorahoituksen korjauserät + satunnaiset erät, netto + investoinnit,</t>
    </r>
  </si>
  <si>
    <t>Lainamäärää lyhennetään valitun keskimääräisen lyhennysajan mukaan eli jos keskimääräinen lainanmaksuaika</t>
  </si>
  <si>
    <t xml:space="preserve">tehdään aina, vaikka nettorahoitustarve olisi negatiivinen. </t>
  </si>
  <si>
    <t>Kunnan talouden tulevan kehityksen arvioinnin suunnitteluun</t>
  </si>
  <si>
    <t xml:space="preserve">kehitystä taloussuunnittelukautta pidemmällä aikavälillä. Tarkastelun kohteena ovat kunnan tuloslaskelma, rahoituslaskelmasta rahavarat, </t>
  </si>
  <si>
    <t xml:space="preserve">antolainat ja investoinnit sekä taseesta lainat ja kertynyt yli-/alijäämä. Pohjatietoina kehikossa ovat kaksi viimeksi </t>
  </si>
  <si>
    <t>uusimman kuntatalousohjelman mukaisiin makroennusteisiin.</t>
  </si>
  <si>
    <t>Käyttäjä voi kuitenkin itse muokata em. muutosolettamuksia sekä muita tuloslaskelman eriä.</t>
  </si>
  <si>
    <t>Kunnan asukaslukuina käytetään lähtökohtaisesti viimeisintä väestötietoa (31.12.20XX). Tulevien vuosien</t>
  </si>
  <si>
    <t>osalta asukaslukutiedot perustuvat Tilastokeskuksen viimeisimpään väestöennusteeseen (TK, 20XX).</t>
  </si>
  <si>
    <t>Tuloveroprosentti perustuu viimeksi vahvistettuun tietoon.</t>
  </si>
  <si>
    <t>Tulevien vuosien tuloveroprosentti on lähtökohtaisesti sama kuin edellisvuonna, mutta sitä voidaan muuttaa tarpeen mukaan. Kehikko</t>
  </si>
  <si>
    <t xml:space="preserve">laskee kaavalla veroprosentin muutoksen vaikutuksen kunnallisveron tuottoon (edellisvuoden </t>
  </si>
  <si>
    <t xml:space="preserve">Tuloslaskelman pohjana ovat tilinpäätökset kahdelta viimeiseltä vuodelta. </t>
  </si>
  <si>
    <t>Tuloslaskelman keskeisten erien tulevien vuosien muutokset perustuvat lähtökohtaisesti kuntatalousohjelmaan.</t>
  </si>
  <si>
    <r>
      <t>5) valtionosuudet (uusin päätös)</t>
    </r>
    <r>
      <rPr>
        <b/>
        <sz val="9"/>
        <rFont val="Arial"/>
        <family val="2"/>
      </rPr>
      <t xml:space="preserve">. </t>
    </r>
  </si>
  <si>
    <t>Em. keskeiset tuloslaskelman erät ovat seuraavat:</t>
  </si>
  <si>
    <t>1) toimintatuotot ja -kulut,</t>
  </si>
  <si>
    <t>Em. erien muutosolettamuksia voi muokata haluamikseen syöttämällä taulukkoon uudet muutosprosentit.</t>
  </si>
  <si>
    <t>Muiden tuloslaskelman erien on oletettu edellisvuoden mukaisesti, mutta niitä voi muokata tarpeen mukaan.</t>
  </si>
  <si>
    <t xml:space="preserve">Kehikossa tuloslaskelma päätyy taseen kertyneeseen yli-/alijäämään, jolloin voidaan tarkastella esim. milloin kunnan mahdollinen </t>
  </si>
  <si>
    <t xml:space="preserve">Investointimenot, niihin liittyvät rahoitusosuudet sekä pysyvien vastaavien luovutustulot ovat lähtökohtaisesti viimeksi toteutuneen </t>
  </si>
  <si>
    <r>
      <t xml:space="preserve">Kehikossa ns. </t>
    </r>
    <r>
      <rPr>
        <b/>
        <sz val="10"/>
        <rFont val="Arial"/>
        <family val="2"/>
      </rPr>
      <t>netto</t>
    </r>
    <r>
      <rPr>
        <b/>
        <i/>
        <sz val="10"/>
        <rFont val="Arial"/>
        <family val="2"/>
      </rPr>
      <t>rahoitustarve</t>
    </r>
    <r>
      <rPr>
        <sz val="10"/>
        <rFont val="Arial"/>
        <family val="2"/>
      </rPr>
      <t xml:space="preserve"> katetaan joko lainanlisäyksellä tai/ja rahavaroilla. Käyttäjä voi valita prosenttiosuuden,</t>
    </r>
  </si>
  <si>
    <t>jolla rahavaroja käytetään nettorahoitustarpeen kattamiseen. Mikäli rahavaroja ei ole, tarve katetaan kokonaisuudessaan lainanlisäyksellä.</t>
  </si>
  <si>
    <t>VM/KAO/vs</t>
  </si>
  <si>
    <t>Toimintatuotot, ml valmomkäyt</t>
  </si>
  <si>
    <t>Toimintatuotot, ml. Valmomkäyt</t>
  </si>
  <si>
    <t>muutokset - lainanlyh.)</t>
  </si>
  <si>
    <t>TP 2023</t>
  </si>
  <si>
    <t>toiminnan rahavirta</t>
  </si>
  <si>
    <t xml:space="preserve">Rahavarat  </t>
  </si>
  <si>
    <t xml:space="preserve"> 2022/2023</t>
  </si>
  <si>
    <t>, josta okm:n vos toteuma 2024-&gt;sama vuoteen 2029</t>
  </si>
  <si>
    <t>oletuksena 2 viimeisimmän vuoden  keskiarvo -&gt; syötä oma arvio</t>
  </si>
  <si>
    <t>RAHOITUSLASKELMAN JA TASEEN TIETOJA (sisältäen nettorahoitustarpeen ja sen vajeen kattamisoletukset)</t>
  </si>
  <si>
    <t>Taseen kertynyt yli-/alijäämä</t>
  </si>
  <si>
    <t>valmistus omaan käyttöön</t>
  </si>
  <si>
    <t>valmistus om. Käyttöön</t>
  </si>
  <si>
    <t xml:space="preserve">Toimintatuotot </t>
  </si>
  <si>
    <t>ÄLÄ MUUTA! Muodostuu toimintatuotoista ja -kuluista</t>
  </si>
  <si>
    <t>(= 3. Toim. ja inv.rahav. + antolainasaam.</t>
  </si>
  <si>
    <t>TULOSLASKELMAN ERIEN KASVUPROSENTIT:</t>
  </si>
  <si>
    <t>Nettorahoitustarve voi olla myös positiivinen, jolloin "ylijäämä" lisää vastaavasti rahavaroja.</t>
  </si>
  <si>
    <t xml:space="preserve">netto + antolainasaamisten muutokset, netto + lainanlyhennykset. </t>
  </si>
  <si>
    <t>Nettorahoitustarve voi olla myös positiivinen, jolloin "ylijäämä" kasvattaa vastaavasti rahavaroja.</t>
  </si>
  <si>
    <t>Kunnat vuoden 2024 kuntajaolla</t>
  </si>
  <si>
    <t>TP 2024</t>
  </si>
  <si>
    <t>-</t>
  </si>
  <si>
    <t>2025-2029</t>
  </si>
  <si>
    <t>2025-2029 tiedot VM:n ennuste 9/2025, jatkovuodet oletus 1,5:n kasvu</t>
  </si>
  <si>
    <t>2024 kuntajako</t>
  </si>
  <si>
    <t>TK, 9/2024</t>
  </si>
  <si>
    <t>Väestöennuste TK 9/2024; toteumakorjattu 2024 tiedoilla</t>
  </si>
  <si>
    <t>oletuksena viimeisin toteumatieto v. 2025 -&gt; syötä oma arvio</t>
  </si>
  <si>
    <t>Väestöennuste 2024 (Tilastokeskus) kunnittain 2024-2034</t>
  </si>
  <si>
    <t>KTO syksy 2025 koko maan muutos</t>
  </si>
  <si>
    <t>VM:n kuntakohtainen ennuste 9/2025, vuodesta 2030 lähtien muutosoletus +1,5 %</t>
  </si>
  <si>
    <t>KTO syksy 2025 koko maan muutos 2029 saakka -&gt; syötä arvio tästä eteenpäin</t>
  </si>
  <si>
    <t>syötä soluun "H79" keskim. korkotaso</t>
  </si>
  <si>
    <t>kasvuoletus, muuta tarvittaessa</t>
  </si>
  <si>
    <t>Syötä oma arvio:</t>
  </si>
  <si>
    <t>MIKÄ OSUUS (%) NETTORAHOITUSTARPEESTA KATETAAN RAHAVAROILLA?</t>
  </si>
  <si>
    <t>Syötä prosenttiosuus, joka katetaan rahavaroista.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</si>
</sst>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#,##0\ &quot;€&quot;;[Red]\-#,##0\ &quot;€&quot;"/>
    <numFmt numFmtId="164" formatCode="_-* #,##0.00\ _€_-;\-* #,##0.00\ _€_-;_-* &quot;-&quot;??\ _€_-;_-@_-"/>
    <numFmt numFmtId="165" formatCode="0.000"/>
    <numFmt numFmtId="166" formatCode="#,##0.0"/>
    <numFmt numFmtId="167" formatCode="#,##0_ ;[Red]\-#,##0\ "/>
    <numFmt numFmtId="168" formatCode="#,##0.0_ ;[Red]\-#,##0.0\ "/>
    <numFmt numFmtId="169" formatCode="#,##0.00_ ;[Red]\-#,##0.00\ "/>
    <numFmt numFmtId="170" formatCode="[$€]#,##0.00_);[Red]\([$€]#,##0.00\)"/>
    <numFmt numFmtId="171" formatCode="#,##0.000_ ;[Red]\-#,##0.000\ "/>
    <numFmt numFmtId="172" formatCode="#,##0.000"/>
  </numFmts>
  <fonts count="43" x14ac:knownFonts="1">
    <font>
      <sz val="8"/>
      <name val="Arial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9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i/>
      <sz val="8"/>
      <name val="Arial"/>
      <family val="2"/>
    </font>
    <font>
      <b/>
      <u/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0"/>
      <name val="MS Sans Serif"/>
      <family val="2"/>
    </font>
    <font>
      <b/>
      <sz val="8"/>
      <color indexed="10"/>
      <name val="Arial"/>
      <family val="2"/>
    </font>
    <font>
      <b/>
      <u/>
      <sz val="9"/>
      <name val="Arial"/>
      <family val="2"/>
    </font>
    <font>
      <b/>
      <sz val="12"/>
      <name val="Arial"/>
      <family val="2"/>
    </font>
    <font>
      <sz val="8"/>
      <color indexed="9"/>
      <name val="Arial"/>
      <family val="2"/>
    </font>
    <font>
      <b/>
      <i/>
      <sz val="8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i/>
      <sz val="16"/>
      <name val="Arial"/>
      <family val="2"/>
    </font>
    <font>
      <sz val="12"/>
      <name val="Arial"/>
      <family val="2"/>
    </font>
    <font>
      <b/>
      <sz val="8"/>
      <color indexed="9"/>
      <name val="Arial"/>
      <family val="2"/>
    </font>
    <font>
      <sz val="8"/>
      <color indexed="8"/>
      <name val="Arial"/>
      <family val="2"/>
    </font>
    <font>
      <sz val="8"/>
      <color indexed="10"/>
      <name val="Arial"/>
      <family val="2"/>
    </font>
    <font>
      <b/>
      <u/>
      <sz val="8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u/>
      <sz val="14"/>
      <color indexed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4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i/>
      <sz val="8"/>
      <color rgb="FFFF0000"/>
      <name val="Arial"/>
      <family val="2"/>
    </font>
    <font>
      <b/>
      <i/>
      <sz val="8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70" fontId="16" fillId="0" borderId="0" applyFont="0" applyFill="0" applyBorder="0" applyAlignment="0" applyProtection="0"/>
    <xf numFmtId="0" fontId="1" fillId="0" borderId="0"/>
  </cellStyleXfs>
  <cellXfs count="567">
    <xf numFmtId="0" fontId="0" fillId="0" borderId="0" xfId="0"/>
    <xf numFmtId="0" fontId="1" fillId="0" borderId="0" xfId="0" applyFont="1"/>
    <xf numFmtId="0" fontId="5" fillId="0" borderId="0" xfId="0" applyFont="1"/>
    <xf numFmtId="0" fontId="3" fillId="0" borderId="0" xfId="0" applyFont="1"/>
    <xf numFmtId="0" fontId="10" fillId="0" borderId="0" xfId="0" applyFont="1"/>
    <xf numFmtId="0" fontId="8" fillId="0" borderId="0" xfId="0" applyFont="1"/>
    <xf numFmtId="0" fontId="4" fillId="0" borderId="0" xfId="0" applyFont="1"/>
    <xf numFmtId="3" fontId="14" fillId="0" borderId="0" xfId="0" applyNumberFormat="1" applyFont="1" applyAlignment="1" applyProtection="1">
      <alignment horizontal="right"/>
      <protection locked="0"/>
    </xf>
    <xf numFmtId="0" fontId="14" fillId="0" borderId="0" xfId="0" applyNumberFormat="1" applyFont="1" applyAlignment="1" applyProtection="1">
      <alignment horizontal="right"/>
      <protection locked="0"/>
    </xf>
    <xf numFmtId="0" fontId="15" fillId="0" borderId="0" xfId="0" applyFont="1"/>
    <xf numFmtId="3" fontId="14" fillId="0" borderId="0" xfId="0" applyNumberFormat="1" applyFont="1"/>
    <xf numFmtId="0" fontId="14" fillId="0" borderId="0" xfId="0" applyFont="1"/>
    <xf numFmtId="167" fontId="4" fillId="0" borderId="0" xfId="0" applyNumberFormat="1" applyFont="1"/>
    <xf numFmtId="0" fontId="1" fillId="2" borderId="0" xfId="0" applyFont="1" applyFill="1"/>
    <xf numFmtId="3" fontId="5" fillId="3" borderId="0" xfId="0" applyNumberFormat="1" applyFont="1" applyFill="1"/>
    <xf numFmtId="0" fontId="3" fillId="3" borderId="0" xfId="0" applyFont="1" applyFill="1"/>
    <xf numFmtId="0" fontId="5" fillId="3" borderId="0" xfId="0" applyFont="1" applyFill="1"/>
    <xf numFmtId="167" fontId="3" fillId="3" borderId="0" xfId="0" applyNumberFormat="1" applyFont="1" applyFill="1"/>
    <xf numFmtId="2" fontId="3" fillId="3" borderId="3" xfId="0" applyNumberFormat="1" applyFont="1" applyFill="1" applyBorder="1"/>
    <xf numFmtId="2" fontId="3" fillId="3" borderId="4" xfId="0" applyNumberFormat="1" applyFont="1" applyFill="1" applyBorder="1"/>
    <xf numFmtId="2" fontId="5" fillId="3" borderId="3" xfId="0" applyNumberFormat="1" applyFont="1" applyFill="1" applyBorder="1" applyAlignment="1">
      <alignment horizontal="center"/>
    </xf>
    <xf numFmtId="2" fontId="5" fillId="3" borderId="4" xfId="0" applyNumberFormat="1" applyFont="1" applyFill="1" applyBorder="1" applyAlignment="1">
      <alignment horizontal="center"/>
    </xf>
    <xf numFmtId="2" fontId="3" fillId="3" borderId="5" xfId="0" applyNumberFormat="1" applyFont="1" applyFill="1" applyBorder="1"/>
    <xf numFmtId="167" fontId="5" fillId="3" borderId="0" xfId="0" applyNumberFormat="1" applyFont="1" applyFill="1"/>
    <xf numFmtId="2" fontId="10" fillId="3" borderId="5" xfId="0" applyNumberFormat="1" applyFont="1" applyFill="1" applyBorder="1" applyAlignment="1">
      <alignment horizontal="center"/>
    </xf>
    <xf numFmtId="0" fontId="1" fillId="3" borderId="0" xfId="0" applyFont="1" applyFill="1"/>
    <xf numFmtId="2" fontId="9" fillId="3" borderId="0" xfId="0" applyNumberFormat="1" applyFont="1" applyFill="1" applyBorder="1"/>
    <xf numFmtId="0" fontId="1" fillId="3" borderId="0" xfId="0" applyFont="1" applyFill="1" applyBorder="1"/>
    <xf numFmtId="0" fontId="4" fillId="3" borderId="0" xfId="0" applyNumberFormat="1" applyFont="1" applyFill="1" applyAlignment="1" applyProtection="1">
      <alignment horizontal="right"/>
      <protection locked="0"/>
    </xf>
    <xf numFmtId="0" fontId="7" fillId="3" borderId="0" xfId="0" applyFont="1" applyFill="1"/>
    <xf numFmtId="0" fontId="0" fillId="3" borderId="0" xfId="0" applyFill="1"/>
    <xf numFmtId="3" fontId="14" fillId="3" borderId="0" xfId="0" applyNumberFormat="1" applyFont="1" applyFill="1" applyBorder="1" applyAlignment="1" applyProtection="1">
      <alignment horizontal="right"/>
      <protection locked="0"/>
    </xf>
    <xf numFmtId="3" fontId="14" fillId="3" borderId="0" xfId="0" applyNumberFormat="1" applyFont="1" applyFill="1" applyBorder="1"/>
    <xf numFmtId="4" fontId="11" fillId="3" borderId="0" xfId="0" applyNumberFormat="1" applyFont="1" applyFill="1"/>
    <xf numFmtId="4" fontId="5" fillId="3" borderId="0" xfId="0" applyNumberFormat="1" applyFont="1" applyFill="1"/>
    <xf numFmtId="0" fontId="15" fillId="3" borderId="0" xfId="0" applyFont="1" applyFill="1" applyBorder="1"/>
    <xf numFmtId="167" fontId="8" fillId="3" borderId="0" xfId="0" applyNumberFormat="1" applyFont="1" applyFill="1"/>
    <xf numFmtId="0" fontId="10" fillId="3" borderId="0" xfId="0" applyFont="1" applyFill="1"/>
    <xf numFmtId="167" fontId="10" fillId="3" borderId="0" xfId="0" applyNumberFormat="1" applyFont="1" applyFill="1"/>
    <xf numFmtId="167" fontId="10" fillId="3" borderId="0" xfId="0" applyNumberFormat="1" applyFont="1" applyFill="1" applyBorder="1"/>
    <xf numFmtId="167" fontId="5" fillId="3" borderId="0" xfId="0" applyNumberFormat="1" applyFont="1" applyFill="1" applyBorder="1"/>
    <xf numFmtId="2" fontId="10" fillId="3" borderId="0" xfId="0" applyNumberFormat="1" applyFont="1" applyFill="1" applyBorder="1" applyAlignment="1">
      <alignment horizontal="center"/>
    </xf>
    <xf numFmtId="2" fontId="19" fillId="3" borderId="0" xfId="0" applyNumberFormat="1" applyFont="1" applyFill="1" applyBorder="1"/>
    <xf numFmtId="14" fontId="1" fillId="3" borderId="0" xfId="0" applyNumberFormat="1" applyFont="1" applyFill="1"/>
    <xf numFmtId="3" fontId="8" fillId="3" borderId="0" xfId="0" applyNumberFormat="1" applyFont="1" applyFill="1" applyBorder="1" applyProtection="1">
      <protection hidden="1"/>
    </xf>
    <xf numFmtId="4" fontId="3" fillId="2" borderId="7" xfId="0" applyNumberFormat="1" applyFont="1" applyFill="1" applyBorder="1" applyProtection="1">
      <protection locked="0"/>
    </xf>
    <xf numFmtId="4" fontId="3" fillId="2" borderId="8" xfId="0" applyNumberFormat="1" applyFont="1" applyFill="1" applyBorder="1" applyProtection="1">
      <protection locked="0"/>
    </xf>
    <xf numFmtId="0" fontId="1" fillId="3" borderId="0" xfId="0" applyFont="1" applyFill="1" applyProtection="1">
      <protection locked="0"/>
    </xf>
    <xf numFmtId="0" fontId="1" fillId="2" borderId="3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2" fontId="4" fillId="3" borderId="0" xfId="0" applyNumberFormat="1" applyFont="1" applyFill="1" applyBorder="1" applyProtection="1">
      <protection locked="0"/>
    </xf>
    <xf numFmtId="1" fontId="6" fillId="3" borderId="0" xfId="0" applyNumberFormat="1" applyFont="1" applyFill="1" applyBorder="1" applyAlignment="1" applyProtection="1">
      <alignment horizontal="left"/>
      <protection locked="0"/>
    </xf>
    <xf numFmtId="0" fontId="5" fillId="3" borderId="0" xfId="0" applyFont="1" applyFill="1" applyProtection="1">
      <protection hidden="1"/>
    </xf>
    <xf numFmtId="167" fontId="3" fillId="3" borderId="9" xfId="0" applyNumberFormat="1" applyFont="1" applyFill="1" applyBorder="1" applyProtection="1">
      <protection hidden="1"/>
    </xf>
    <xf numFmtId="167" fontId="3" fillId="3" borderId="1" xfId="0" applyNumberFormat="1" applyFont="1" applyFill="1" applyBorder="1" applyProtection="1">
      <protection hidden="1"/>
    </xf>
    <xf numFmtId="167" fontId="3" fillId="3" borderId="2" xfId="0" applyNumberFormat="1" applyFont="1" applyFill="1" applyBorder="1" applyProtection="1">
      <protection hidden="1"/>
    </xf>
    <xf numFmtId="167" fontId="3" fillId="3" borderId="6" xfId="0" applyNumberFormat="1" applyFont="1" applyFill="1" applyBorder="1" applyProtection="1">
      <protection hidden="1"/>
    </xf>
    <xf numFmtId="167" fontId="3" fillId="3" borderId="0" xfId="0" applyNumberFormat="1" applyFont="1" applyFill="1" applyBorder="1" applyProtection="1">
      <protection hidden="1"/>
    </xf>
    <xf numFmtId="167" fontId="3" fillId="3" borderId="10" xfId="0" applyNumberFormat="1" applyFont="1" applyFill="1" applyBorder="1" applyProtection="1">
      <protection hidden="1"/>
    </xf>
    <xf numFmtId="167" fontId="3" fillId="3" borderId="11" xfId="0" applyNumberFormat="1" applyFont="1" applyFill="1" applyBorder="1" applyProtection="1">
      <protection hidden="1"/>
    </xf>
    <xf numFmtId="167" fontId="5" fillId="3" borderId="12" xfId="0" applyNumberFormat="1" applyFont="1" applyFill="1" applyBorder="1" applyProtection="1">
      <protection hidden="1"/>
    </xf>
    <xf numFmtId="167" fontId="5" fillId="3" borderId="13" xfId="0" applyNumberFormat="1" applyFont="1" applyFill="1" applyBorder="1" applyProtection="1">
      <protection hidden="1"/>
    </xf>
    <xf numFmtId="167" fontId="8" fillId="3" borderId="9" xfId="0" applyNumberFormat="1" applyFont="1" applyFill="1" applyBorder="1" applyProtection="1">
      <protection hidden="1"/>
    </xf>
    <xf numFmtId="167" fontId="8" fillId="3" borderId="1" xfId="0" applyNumberFormat="1" applyFont="1" applyFill="1" applyBorder="1" applyProtection="1">
      <protection hidden="1"/>
    </xf>
    <xf numFmtId="167" fontId="8" fillId="3" borderId="2" xfId="0" applyNumberFormat="1" applyFont="1" applyFill="1" applyBorder="1" applyProtection="1">
      <protection hidden="1"/>
    </xf>
    <xf numFmtId="167" fontId="8" fillId="3" borderId="6" xfId="0" applyNumberFormat="1" applyFont="1" applyFill="1" applyBorder="1" applyProtection="1">
      <protection hidden="1"/>
    </xf>
    <xf numFmtId="167" fontId="3" fillId="3" borderId="12" xfId="0" applyNumberFormat="1" applyFont="1" applyFill="1" applyBorder="1" applyProtection="1">
      <protection hidden="1"/>
    </xf>
    <xf numFmtId="167" fontId="3" fillId="3" borderId="13" xfId="0" applyNumberFormat="1" applyFont="1" applyFill="1" applyBorder="1" applyProtection="1">
      <protection hidden="1"/>
    </xf>
    <xf numFmtId="167" fontId="10" fillId="3" borderId="11" xfId="0" applyNumberFormat="1" applyFont="1" applyFill="1" applyBorder="1" applyProtection="1">
      <protection hidden="1"/>
    </xf>
    <xf numFmtId="167" fontId="10" fillId="3" borderId="12" xfId="0" applyNumberFormat="1" applyFont="1" applyFill="1" applyBorder="1" applyProtection="1">
      <protection hidden="1"/>
    </xf>
    <xf numFmtId="167" fontId="10" fillId="3" borderId="13" xfId="0" applyNumberFormat="1" applyFont="1" applyFill="1" applyBorder="1" applyProtection="1">
      <protection hidden="1"/>
    </xf>
    <xf numFmtId="4" fontId="3" fillId="3" borderId="14" xfId="0" applyNumberFormat="1" applyFont="1" applyFill="1" applyBorder="1" applyProtection="1">
      <protection hidden="1"/>
    </xf>
    <xf numFmtId="168" fontId="3" fillId="3" borderId="6" xfId="0" applyNumberFormat="1" applyFont="1" applyFill="1" applyBorder="1" applyProtection="1">
      <protection hidden="1"/>
    </xf>
    <xf numFmtId="168" fontId="3" fillId="3" borderId="11" xfId="0" applyNumberFormat="1" applyFont="1" applyFill="1" applyBorder="1" applyProtection="1">
      <protection hidden="1"/>
    </xf>
    <xf numFmtId="3" fontId="3" fillId="3" borderId="11" xfId="0" applyNumberFormat="1" applyFont="1" applyFill="1" applyBorder="1" applyProtection="1">
      <protection hidden="1"/>
    </xf>
    <xf numFmtId="167" fontId="5" fillId="3" borderId="11" xfId="0" applyNumberFormat="1" applyFont="1" applyFill="1" applyBorder="1" applyProtection="1">
      <protection hidden="1"/>
    </xf>
    <xf numFmtId="3" fontId="1" fillId="3" borderId="0" xfId="0" applyNumberFormat="1" applyFont="1" applyFill="1"/>
    <xf numFmtId="165" fontId="1" fillId="3" borderId="0" xfId="0" applyNumberFormat="1" applyFont="1" applyFill="1"/>
    <xf numFmtId="167" fontId="3" fillId="3" borderId="3" xfId="0" applyNumberFormat="1" applyFont="1" applyFill="1" applyBorder="1" applyProtection="1">
      <protection hidden="1"/>
    </xf>
    <xf numFmtId="2" fontId="21" fillId="3" borderId="5" xfId="0" applyNumberFormat="1" applyFont="1" applyFill="1" applyBorder="1"/>
    <xf numFmtId="167" fontId="10" fillId="3" borderId="5" xfId="0" applyNumberFormat="1" applyFont="1" applyFill="1" applyBorder="1" applyProtection="1">
      <protection hidden="1"/>
    </xf>
    <xf numFmtId="167" fontId="1" fillId="3" borderId="0" xfId="0" applyNumberFormat="1" applyFont="1" applyFill="1"/>
    <xf numFmtId="167" fontId="5" fillId="3" borderId="0" xfId="0" applyNumberFormat="1" applyFont="1" applyFill="1" applyProtection="1">
      <protection hidden="1"/>
    </xf>
    <xf numFmtId="171" fontId="1" fillId="3" borderId="0" xfId="0" applyNumberFormat="1" applyFont="1" applyFill="1"/>
    <xf numFmtId="169" fontId="5" fillId="3" borderId="0" xfId="0" applyNumberFormat="1" applyFont="1" applyFill="1"/>
    <xf numFmtId="1" fontId="0" fillId="3" borderId="0" xfId="0" applyNumberFormat="1" applyFill="1"/>
    <xf numFmtId="3" fontId="5" fillId="3" borderId="0" xfId="0" applyNumberFormat="1" applyFont="1" applyFill="1" applyBorder="1"/>
    <xf numFmtId="2" fontId="22" fillId="3" borderId="0" xfId="0" applyNumberFormat="1" applyFont="1" applyFill="1" applyBorder="1" applyAlignment="1">
      <alignment horizontal="left"/>
    </xf>
    <xf numFmtId="167" fontId="3" fillId="3" borderId="4" xfId="0" applyNumberFormat="1" applyFont="1" applyFill="1" applyBorder="1" applyProtection="1">
      <protection hidden="1"/>
    </xf>
    <xf numFmtId="3" fontId="5" fillId="3" borderId="0" xfId="0" applyNumberFormat="1" applyFont="1" applyFill="1" applyProtection="1">
      <protection hidden="1"/>
    </xf>
    <xf numFmtId="167" fontId="5" fillId="2" borderId="1" xfId="0" applyNumberFormat="1" applyFont="1" applyFill="1" applyBorder="1" applyProtection="1">
      <protection locked="0"/>
    </xf>
    <xf numFmtId="167" fontId="5" fillId="2" borderId="2" xfId="0" applyNumberFormat="1" applyFont="1" applyFill="1" applyBorder="1" applyProtection="1">
      <protection locked="0"/>
    </xf>
    <xf numFmtId="167" fontId="5" fillId="2" borderId="0" xfId="0" applyNumberFormat="1" applyFont="1" applyFill="1" applyBorder="1" applyProtection="1">
      <protection locked="0"/>
    </xf>
    <xf numFmtId="167" fontId="5" fillId="2" borderId="10" xfId="0" applyNumberFormat="1" applyFont="1" applyFill="1" applyBorder="1" applyProtection="1">
      <protection locked="0"/>
    </xf>
    <xf numFmtId="167" fontId="5" fillId="2" borderId="12" xfId="0" applyNumberFormat="1" applyFont="1" applyFill="1" applyBorder="1" applyProtection="1">
      <protection locked="0"/>
    </xf>
    <xf numFmtId="167" fontId="5" fillId="2" borderId="13" xfId="0" applyNumberFormat="1" applyFont="1" applyFill="1" applyBorder="1" applyProtection="1">
      <protection locked="0"/>
    </xf>
    <xf numFmtId="0" fontId="23" fillId="3" borderId="0" xfId="0" applyFont="1" applyFill="1"/>
    <xf numFmtId="0" fontId="3" fillId="3" borderId="0" xfId="0" applyFont="1" applyFill="1" applyProtection="1">
      <protection locked="0"/>
    </xf>
    <xf numFmtId="3" fontId="10" fillId="3" borderId="12" xfId="0" applyNumberFormat="1" applyFont="1" applyFill="1" applyBorder="1" applyProtection="1">
      <protection hidden="1"/>
    </xf>
    <xf numFmtId="3" fontId="10" fillId="3" borderId="13" xfId="0" applyNumberFormat="1" applyFont="1" applyFill="1" applyBorder="1" applyProtection="1">
      <protection hidden="1"/>
    </xf>
    <xf numFmtId="3" fontId="5" fillId="3" borderId="0" xfId="0" applyNumberFormat="1" applyFont="1" applyFill="1" applyBorder="1" applyProtection="1">
      <protection hidden="1"/>
    </xf>
    <xf numFmtId="3" fontId="3" fillId="3" borderId="0" xfId="0" applyNumberFormat="1" applyFont="1" applyFill="1" applyProtection="1">
      <protection hidden="1"/>
    </xf>
    <xf numFmtId="3" fontId="20" fillId="3" borderId="0" xfId="0" applyNumberFormat="1" applyFont="1" applyFill="1" applyProtection="1">
      <protection hidden="1"/>
    </xf>
    <xf numFmtId="3" fontId="20" fillId="3" borderId="0" xfId="0" applyNumberFormat="1" applyFont="1" applyFill="1" applyBorder="1" applyAlignment="1" applyProtection="1">
      <alignment horizontal="right"/>
      <protection hidden="1"/>
    </xf>
    <xf numFmtId="0" fontId="5" fillId="0" borderId="0" xfId="0" applyFont="1" applyProtection="1">
      <protection hidden="1"/>
    </xf>
    <xf numFmtId="0" fontId="5" fillId="3" borderId="0" xfId="0" applyFont="1" applyFill="1" applyAlignment="1" applyProtection="1">
      <alignment horizontal="right"/>
      <protection hidden="1"/>
    </xf>
    <xf numFmtId="6" fontId="5" fillId="3" borderId="0" xfId="0" applyNumberFormat="1" applyFont="1" applyFill="1" applyProtection="1">
      <protection hidden="1"/>
    </xf>
    <xf numFmtId="3" fontId="6" fillId="3" borderId="0" xfId="0" applyNumberFormat="1" applyFont="1" applyFill="1" applyProtection="1">
      <protection hidden="1"/>
    </xf>
    <xf numFmtId="3" fontId="1" fillId="3" borderId="0" xfId="0" applyNumberFormat="1" applyFont="1" applyFill="1" applyProtection="1">
      <protection hidden="1"/>
    </xf>
    <xf numFmtId="167" fontId="5" fillId="3" borderId="0" xfId="0" applyNumberFormat="1" applyFont="1" applyFill="1" applyBorder="1" applyProtection="1">
      <protection hidden="1"/>
    </xf>
    <xf numFmtId="167" fontId="5" fillId="3" borderId="10" xfId="0" applyNumberFormat="1" applyFont="1" applyFill="1" applyBorder="1" applyProtection="1">
      <protection hidden="1"/>
    </xf>
    <xf numFmtId="0" fontId="13" fillId="3" borderId="0" xfId="0" applyFont="1" applyFill="1" applyProtection="1">
      <protection hidden="1"/>
    </xf>
    <xf numFmtId="167" fontId="17" fillId="3" borderId="0" xfId="0" applyNumberFormat="1" applyFont="1" applyFill="1"/>
    <xf numFmtId="172" fontId="5" fillId="3" borderId="0" xfId="0" applyNumberFormat="1" applyFont="1" applyFill="1" applyBorder="1"/>
    <xf numFmtId="0" fontId="8" fillId="3" borderId="0" xfId="0" applyFont="1" applyFill="1"/>
    <xf numFmtId="0" fontId="25" fillId="3" borderId="0" xfId="0" applyFont="1" applyFill="1"/>
    <xf numFmtId="3" fontId="3" fillId="3" borderId="5" xfId="0" applyNumberFormat="1" applyFont="1" applyFill="1" applyBorder="1" applyProtection="1">
      <protection hidden="1"/>
    </xf>
    <xf numFmtId="4" fontId="3" fillId="3" borderId="15" xfId="0" applyNumberFormat="1" applyFont="1" applyFill="1" applyBorder="1" applyProtection="1">
      <protection hidden="1"/>
    </xf>
    <xf numFmtId="3" fontId="5" fillId="3" borderId="5" xfId="0" applyNumberFormat="1" applyFont="1" applyFill="1" applyBorder="1" applyProtection="1">
      <protection hidden="1"/>
    </xf>
    <xf numFmtId="167" fontId="8" fillId="3" borderId="3" xfId="0" applyNumberFormat="1" applyFont="1" applyFill="1" applyBorder="1" applyProtection="1">
      <protection hidden="1"/>
    </xf>
    <xf numFmtId="167" fontId="8" fillId="3" borderId="4" xfId="0" applyNumberFormat="1" applyFont="1" applyFill="1" applyBorder="1" applyProtection="1">
      <protection hidden="1"/>
    </xf>
    <xf numFmtId="167" fontId="3" fillId="3" borderId="5" xfId="0" applyNumberFormat="1" applyFont="1" applyFill="1" applyBorder="1" applyProtection="1">
      <protection hidden="1"/>
    </xf>
    <xf numFmtId="167" fontId="8" fillId="3" borderId="5" xfId="0" applyNumberFormat="1" applyFont="1" applyFill="1" applyBorder="1" applyProtection="1">
      <protection hidden="1"/>
    </xf>
    <xf numFmtId="3" fontId="10" fillId="3" borderId="11" xfId="0" applyNumberFormat="1" applyFont="1" applyFill="1" applyBorder="1" applyProtection="1">
      <protection hidden="1"/>
    </xf>
    <xf numFmtId="168" fontId="10" fillId="3" borderId="0" xfId="0" applyNumberFormat="1" applyFont="1" applyFill="1" applyBorder="1"/>
    <xf numFmtId="0" fontId="4" fillId="0" borderId="0" xfId="0" applyNumberFormat="1" applyFont="1" applyFill="1" applyAlignment="1" applyProtection="1">
      <alignment horizontal="right"/>
      <protection locked="0"/>
    </xf>
    <xf numFmtId="3" fontId="1" fillId="3" borderId="11" xfId="0" applyNumberFormat="1" applyFont="1" applyFill="1" applyBorder="1" applyProtection="1">
      <protection hidden="1"/>
    </xf>
    <xf numFmtId="167" fontId="1" fillId="3" borderId="11" xfId="0" applyNumberFormat="1" applyFont="1" applyFill="1" applyBorder="1" applyProtection="1">
      <protection hidden="1"/>
    </xf>
    <xf numFmtId="167" fontId="8" fillId="3" borderId="11" xfId="0" applyNumberFormat="1" applyFont="1" applyFill="1" applyBorder="1" applyProtection="1">
      <protection hidden="1"/>
    </xf>
    <xf numFmtId="0" fontId="17" fillId="3" borderId="9" xfId="0" applyFont="1" applyFill="1" applyBorder="1" applyAlignment="1">
      <alignment horizontal="right"/>
    </xf>
    <xf numFmtId="167" fontId="1" fillId="3" borderId="0" xfId="0" applyNumberFormat="1" applyFont="1" applyFill="1" applyBorder="1"/>
    <xf numFmtId="3" fontId="1" fillId="3" borderId="0" xfId="0" applyNumberFormat="1" applyFont="1" applyFill="1" applyBorder="1"/>
    <xf numFmtId="0" fontId="1" fillId="3" borderId="0" xfId="0" applyFont="1" applyFill="1" applyProtection="1">
      <protection hidden="1"/>
    </xf>
    <xf numFmtId="167" fontId="10" fillId="0" borderId="11" xfId="0" applyNumberFormat="1" applyFont="1" applyFill="1" applyBorder="1" applyProtection="1">
      <protection hidden="1"/>
    </xf>
    <xf numFmtId="167" fontId="10" fillId="0" borderId="5" xfId="0" applyNumberFormat="1" applyFont="1" applyFill="1" applyBorder="1" applyProtection="1">
      <protection hidden="1"/>
    </xf>
    <xf numFmtId="168" fontId="3" fillId="0" borderId="4" xfId="0" applyNumberFormat="1" applyFont="1" applyFill="1" applyBorder="1" applyProtection="1">
      <protection hidden="1"/>
    </xf>
    <xf numFmtId="168" fontId="3" fillId="0" borderId="5" xfId="0" applyNumberFormat="1" applyFont="1" applyFill="1" applyBorder="1" applyProtection="1">
      <protection hidden="1"/>
    </xf>
    <xf numFmtId="167" fontId="12" fillId="3" borderId="0" xfId="0" applyNumberFormat="1" applyFont="1" applyFill="1"/>
    <xf numFmtId="0" fontId="5" fillId="0" borderId="0" xfId="0" applyFont="1" applyFill="1"/>
    <xf numFmtId="3" fontId="5" fillId="3" borderId="4" xfId="0" applyNumberFormat="1" applyFont="1" applyFill="1" applyBorder="1" applyProtection="1">
      <protection hidden="1"/>
    </xf>
    <xf numFmtId="167" fontId="5" fillId="3" borderId="4" xfId="0" applyNumberFormat="1" applyFont="1" applyFill="1" applyBorder="1" applyProtection="1">
      <protection hidden="1"/>
    </xf>
    <xf numFmtId="167" fontId="5" fillId="2" borderId="3" xfId="0" applyNumberFormat="1" applyFont="1" applyFill="1" applyBorder="1" applyProtection="1">
      <protection locked="0"/>
    </xf>
    <xf numFmtId="167" fontId="5" fillId="2" borderId="4" xfId="0" applyNumberFormat="1" applyFont="1" applyFill="1" applyBorder="1" applyProtection="1">
      <protection locked="0"/>
    </xf>
    <xf numFmtId="167" fontId="5" fillId="2" borderId="5" xfId="0" applyNumberFormat="1" applyFont="1" applyFill="1" applyBorder="1" applyProtection="1">
      <protection locked="0"/>
    </xf>
    <xf numFmtId="0" fontId="5" fillId="3" borderId="4" xfId="0" applyFont="1" applyFill="1" applyBorder="1" applyProtection="1">
      <protection hidden="1"/>
    </xf>
    <xf numFmtId="0" fontId="26" fillId="0" borderId="0" xfId="0" applyFont="1"/>
    <xf numFmtId="0" fontId="20" fillId="0" borderId="0" xfId="0" applyFont="1" applyFill="1"/>
    <xf numFmtId="0" fontId="20" fillId="0" borderId="0" xfId="0" applyFont="1"/>
    <xf numFmtId="0" fontId="28" fillId="3" borderId="0" xfId="0" applyFont="1" applyFill="1" applyProtection="1">
      <protection hidden="1"/>
    </xf>
    <xf numFmtId="0" fontId="6" fillId="0" borderId="0" xfId="0" applyFont="1"/>
    <xf numFmtId="0" fontId="6" fillId="3" borderId="0" xfId="0" applyFont="1" applyFill="1" applyProtection="1">
      <protection hidden="1"/>
    </xf>
    <xf numFmtId="0" fontId="6" fillId="3" borderId="0" xfId="0" applyFont="1" applyFill="1"/>
    <xf numFmtId="0" fontId="20" fillId="3" borderId="0" xfId="0" applyFont="1" applyFill="1" applyProtection="1">
      <protection hidden="1"/>
    </xf>
    <xf numFmtId="0" fontId="20" fillId="3" borderId="0" xfId="0" applyFont="1" applyFill="1"/>
    <xf numFmtId="0" fontId="8" fillId="0" borderId="0" xfId="0" applyFont="1" applyFill="1" applyAlignment="1" applyProtection="1">
      <alignment horizontal="left"/>
      <protection hidden="1"/>
    </xf>
    <xf numFmtId="0" fontId="3" fillId="0" borderId="0" xfId="0" applyFont="1" applyFill="1" applyProtection="1">
      <protection hidden="1"/>
    </xf>
    <xf numFmtId="0" fontId="8" fillId="0" borderId="0" xfId="0" applyFont="1" applyFill="1" applyProtection="1">
      <protection hidden="1"/>
    </xf>
    <xf numFmtId="1" fontId="8" fillId="0" borderId="0" xfId="0" applyNumberFormat="1" applyFont="1" applyFill="1" applyProtection="1">
      <protection hidden="1"/>
    </xf>
    <xf numFmtId="0" fontId="8" fillId="0" borderId="0" xfId="0" applyFont="1" applyFill="1"/>
    <xf numFmtId="2" fontId="8" fillId="0" borderId="0" xfId="0" applyNumberFormat="1" applyFont="1" applyFill="1" applyBorder="1" applyProtection="1">
      <protection hidden="1"/>
    </xf>
    <xf numFmtId="2" fontId="3" fillId="0" borderId="0" xfId="0" applyNumberFormat="1" applyFont="1" applyFill="1" applyBorder="1" applyProtection="1">
      <protection hidden="1"/>
    </xf>
    <xf numFmtId="2" fontId="8" fillId="0" borderId="0" xfId="0" applyNumberFormat="1" applyFont="1" applyFill="1" applyBorder="1" applyAlignment="1" applyProtection="1">
      <alignment horizontal="center"/>
      <protection hidden="1"/>
    </xf>
    <xf numFmtId="2" fontId="3" fillId="0" borderId="3" xfId="0" applyNumberFormat="1" applyFont="1" applyFill="1" applyBorder="1" applyProtection="1">
      <protection hidden="1"/>
    </xf>
    <xf numFmtId="2" fontId="3" fillId="0" borderId="15" xfId="0" applyNumberFormat="1" applyFont="1" applyFill="1" applyBorder="1" applyProtection="1">
      <protection hidden="1"/>
    </xf>
    <xf numFmtId="2" fontId="10" fillId="0" borderId="5" xfId="0" applyNumberFormat="1" applyFont="1" applyFill="1" applyBorder="1" applyAlignment="1" applyProtection="1">
      <alignment horizontal="center"/>
      <protection hidden="1"/>
    </xf>
    <xf numFmtId="0" fontId="8" fillId="0" borderId="0" xfId="0" applyFont="1" applyFill="1" applyBorder="1" applyProtection="1">
      <protection hidden="1"/>
    </xf>
    <xf numFmtId="0" fontId="3" fillId="0" borderId="3" xfId="0" applyFont="1" applyFill="1" applyBorder="1" applyProtection="1">
      <protection hidden="1"/>
    </xf>
    <xf numFmtId="0" fontId="10" fillId="0" borderId="5" xfId="0" applyFont="1" applyFill="1" applyBorder="1" applyAlignment="1" applyProtection="1">
      <alignment horizontal="center"/>
      <protection hidden="1"/>
    </xf>
    <xf numFmtId="1" fontId="3" fillId="0" borderId="3" xfId="0" applyNumberFormat="1" applyFont="1" applyFill="1" applyBorder="1" applyProtection="1">
      <protection hidden="1"/>
    </xf>
    <xf numFmtId="2" fontId="8" fillId="0" borderId="0" xfId="0" applyNumberFormat="1" applyFont="1" applyFill="1" applyAlignment="1" applyProtection="1">
      <alignment horizontal="right"/>
      <protection hidden="1"/>
    </xf>
    <xf numFmtId="168" fontId="8" fillId="0" borderId="0" xfId="0" applyNumberFormat="1" applyFont="1" applyFill="1" applyProtection="1">
      <protection hidden="1"/>
    </xf>
    <xf numFmtId="3" fontId="8" fillId="0" borderId="0" xfId="0" applyNumberFormat="1" applyFont="1" applyFill="1" applyProtection="1">
      <protection hidden="1"/>
    </xf>
    <xf numFmtId="0" fontId="8" fillId="0" borderId="4" xfId="0" applyNumberFormat="1" applyFont="1" applyFill="1" applyBorder="1" applyAlignment="1" applyProtection="1">
      <alignment horizontal="left"/>
      <protection hidden="1"/>
    </xf>
    <xf numFmtId="0" fontId="3" fillId="0" borderId="0" xfId="0" applyFont="1" applyFill="1" applyAlignment="1" applyProtection="1">
      <alignment horizontal="left"/>
      <protection hidden="1"/>
    </xf>
    <xf numFmtId="3" fontId="8" fillId="0" borderId="0" xfId="0" applyNumberFormat="1" applyFont="1" applyFill="1"/>
    <xf numFmtId="1" fontId="8" fillId="0" borderId="0" xfId="0" applyNumberFormat="1" applyFont="1" applyFill="1"/>
    <xf numFmtId="0" fontId="3" fillId="4" borderId="0" xfId="0" applyFont="1" applyFill="1" applyProtection="1">
      <protection hidden="1"/>
    </xf>
    <xf numFmtId="0" fontId="8" fillId="4" borderId="0" xfId="0" applyFont="1" applyFill="1" applyProtection="1">
      <protection hidden="1"/>
    </xf>
    <xf numFmtId="0" fontId="2" fillId="0" borderId="0" xfId="0" applyFont="1" applyFill="1" applyAlignment="1" applyProtection="1">
      <alignment horizontal="left"/>
      <protection hidden="1"/>
    </xf>
    <xf numFmtId="0" fontId="2" fillId="0" borderId="0" xfId="0" applyFont="1" applyFill="1" applyProtection="1">
      <protection hidden="1"/>
    </xf>
    <xf numFmtId="0" fontId="10" fillId="0" borderId="0" xfId="0" applyFont="1" applyFill="1" applyAlignment="1" applyProtection="1">
      <alignment horizontal="left"/>
      <protection hidden="1"/>
    </xf>
    <xf numFmtId="0" fontId="10" fillId="0" borderId="0" xfId="0" applyFont="1" applyFill="1" applyAlignment="1" applyProtection="1">
      <alignment horizontal="right"/>
      <protection hidden="1"/>
    </xf>
    <xf numFmtId="0" fontId="8" fillId="0" borderId="0" xfId="0" applyFont="1" applyFill="1" applyAlignment="1" applyProtection="1">
      <alignment horizontal="right"/>
      <protection hidden="1"/>
    </xf>
    <xf numFmtId="0" fontId="8" fillId="0" borderId="0" xfId="0" applyFont="1" applyFill="1" applyBorder="1"/>
    <xf numFmtId="167" fontId="8" fillId="0" borderId="0" xfId="0" applyNumberFormat="1" applyFont="1" applyFill="1" applyProtection="1">
      <protection hidden="1"/>
    </xf>
    <xf numFmtId="1" fontId="3" fillId="0" borderId="0" xfId="0" applyNumberFormat="1" applyFont="1" applyFill="1" applyProtection="1">
      <protection hidden="1"/>
    </xf>
    <xf numFmtId="2" fontId="8" fillId="3" borderId="4" xfId="0" applyNumberFormat="1" applyFont="1" applyFill="1" applyBorder="1"/>
    <xf numFmtId="0" fontId="1" fillId="2" borderId="4" xfId="0" applyFont="1" applyFill="1" applyBorder="1" applyProtection="1">
      <protection locked="0"/>
    </xf>
    <xf numFmtId="167" fontId="1" fillId="2" borderId="10" xfId="0" applyNumberFormat="1" applyFont="1" applyFill="1" applyBorder="1" applyProtection="1">
      <protection locked="0"/>
    </xf>
    <xf numFmtId="3" fontId="10" fillId="3" borderId="0" xfId="0" applyNumberFormat="1" applyFont="1" applyFill="1" applyBorder="1"/>
    <xf numFmtId="3" fontId="8" fillId="3" borderId="12" xfId="0" applyNumberFormat="1" applyFont="1" applyFill="1" applyBorder="1" applyProtection="1">
      <protection hidden="1"/>
    </xf>
    <xf numFmtId="167" fontId="10" fillId="3" borderId="6" xfId="0" applyNumberFormat="1" applyFont="1" applyFill="1" applyBorder="1" applyProtection="1">
      <protection hidden="1"/>
    </xf>
    <xf numFmtId="167" fontId="10" fillId="3" borderId="0" xfId="0" applyNumberFormat="1" applyFont="1" applyFill="1" applyBorder="1" applyProtection="1">
      <protection hidden="1"/>
    </xf>
    <xf numFmtId="167" fontId="10" fillId="3" borderId="10" xfId="0" applyNumberFormat="1" applyFont="1" applyFill="1" applyBorder="1" applyProtection="1">
      <protection hidden="1"/>
    </xf>
    <xf numFmtId="167" fontId="5" fillId="3" borderId="4" xfId="0" applyNumberFormat="1" applyFont="1" applyFill="1" applyBorder="1"/>
    <xf numFmtId="167" fontId="1" fillId="3" borderId="0" xfId="0" applyNumberFormat="1" applyFont="1" applyFill="1" applyBorder="1" applyProtection="1">
      <protection hidden="1"/>
    </xf>
    <xf numFmtId="0" fontId="8" fillId="3" borderId="0" xfId="0" applyFont="1" applyFill="1" applyProtection="1">
      <protection hidden="1"/>
    </xf>
    <xf numFmtId="0" fontId="8" fillId="0" borderId="0" xfId="0" applyFont="1" applyProtection="1">
      <protection hidden="1"/>
    </xf>
    <xf numFmtId="0" fontId="11" fillId="3" borderId="0" xfId="0" applyFont="1" applyFill="1" applyAlignment="1" applyProtection="1">
      <alignment horizontal="left"/>
      <protection hidden="1"/>
    </xf>
    <xf numFmtId="3" fontId="3" fillId="3" borderId="0" xfId="0" applyNumberFormat="1" applyFont="1" applyFill="1" applyBorder="1" applyAlignment="1">
      <alignment horizontal="right"/>
    </xf>
    <xf numFmtId="0" fontId="3" fillId="3" borderId="12" xfId="0" applyFont="1" applyFill="1" applyBorder="1" applyAlignment="1">
      <alignment horizontal="right"/>
    </xf>
    <xf numFmtId="3" fontId="27" fillId="3" borderId="0" xfId="0" applyNumberFormat="1" applyFont="1" applyFill="1" applyProtection="1">
      <protection hidden="1"/>
    </xf>
    <xf numFmtId="167" fontId="1" fillId="3" borderId="9" xfId="0" applyNumberFormat="1" applyFont="1" applyFill="1" applyBorder="1"/>
    <xf numFmtId="167" fontId="3" fillId="3" borderId="7" xfId="0" applyNumberFormat="1" applyFont="1" applyFill="1" applyBorder="1" applyProtection="1">
      <protection hidden="1"/>
    </xf>
    <xf numFmtId="167" fontId="3" fillId="3" borderId="8" xfId="0" applyNumberFormat="1" applyFont="1" applyFill="1" applyBorder="1" applyProtection="1">
      <protection hidden="1"/>
    </xf>
    <xf numFmtId="167" fontId="5" fillId="3" borderId="1" xfId="0" applyNumberFormat="1" applyFont="1" applyFill="1" applyBorder="1"/>
    <xf numFmtId="0" fontId="8" fillId="3" borderId="3" xfId="0" applyFont="1" applyFill="1" applyBorder="1"/>
    <xf numFmtId="0" fontId="29" fillId="3" borderId="0" xfId="0" applyFont="1" applyFill="1"/>
    <xf numFmtId="0" fontId="10" fillId="3" borderId="4" xfId="0" applyFont="1" applyFill="1" applyBorder="1" applyAlignment="1">
      <alignment horizontal="center"/>
    </xf>
    <xf numFmtId="2" fontId="8" fillId="3" borderId="4" xfId="0" applyNumberFormat="1" applyFont="1" applyFill="1" applyBorder="1" applyAlignment="1">
      <alignment horizontal="center"/>
    </xf>
    <xf numFmtId="3" fontId="8" fillId="3" borderId="10" xfId="0" applyNumberFormat="1" applyFont="1" applyFill="1" applyBorder="1" applyProtection="1">
      <protection hidden="1"/>
    </xf>
    <xf numFmtId="167" fontId="29" fillId="3" borderId="0" xfId="0" applyNumberFormat="1" applyFont="1" applyFill="1"/>
    <xf numFmtId="167" fontId="10" fillId="3" borderId="1" xfId="0" applyNumberFormat="1" applyFont="1" applyFill="1" applyBorder="1"/>
    <xf numFmtId="2" fontId="19" fillId="3" borderId="0" xfId="0" applyNumberFormat="1" applyFont="1" applyFill="1" applyBorder="1" applyAlignment="1">
      <alignment horizontal="left"/>
    </xf>
    <xf numFmtId="2" fontId="30" fillId="3" borderId="3" xfId="0" applyNumberFormat="1" applyFont="1" applyFill="1" applyBorder="1"/>
    <xf numFmtId="3" fontId="8" fillId="3" borderId="6" xfId="0" applyNumberFormat="1" applyFont="1" applyFill="1" applyBorder="1" applyProtection="1">
      <protection hidden="1"/>
    </xf>
    <xf numFmtId="3" fontId="8" fillId="3" borderId="13" xfId="0" applyNumberFormat="1" applyFont="1" applyFill="1" applyBorder="1" applyProtection="1">
      <protection hidden="1"/>
    </xf>
    <xf numFmtId="2" fontId="8" fillId="3" borderId="3" xfId="0" applyNumberFormat="1" applyFont="1" applyFill="1" applyBorder="1"/>
    <xf numFmtId="2" fontId="8" fillId="3" borderId="5" xfId="0" applyNumberFormat="1" applyFont="1" applyFill="1" applyBorder="1"/>
    <xf numFmtId="2" fontId="8" fillId="3" borderId="3" xfId="0" applyNumberFormat="1" applyFont="1" applyFill="1" applyBorder="1" applyAlignment="1">
      <alignment horizontal="left"/>
    </xf>
    <xf numFmtId="167" fontId="5" fillId="3" borderId="2" xfId="0" applyNumberFormat="1" applyFont="1" applyFill="1" applyBorder="1"/>
    <xf numFmtId="2" fontId="8" fillId="3" borderId="4" xfId="0" applyNumberFormat="1" applyFont="1" applyFill="1" applyBorder="1" applyAlignment="1">
      <alignment horizontal="left"/>
    </xf>
    <xf numFmtId="2" fontId="8" fillId="3" borderId="5" xfId="0" applyNumberFormat="1" applyFont="1" applyFill="1" applyBorder="1" applyAlignment="1">
      <alignment horizontal="left"/>
    </xf>
    <xf numFmtId="167" fontId="1" fillId="3" borderId="11" xfId="0" applyNumberFormat="1" applyFont="1" applyFill="1" applyBorder="1"/>
    <xf numFmtId="167" fontId="5" fillId="3" borderId="9" xfId="0" applyNumberFormat="1" applyFont="1" applyFill="1" applyBorder="1"/>
    <xf numFmtId="2" fontId="19" fillId="3" borderId="3" xfId="0" applyNumberFormat="1" applyFont="1" applyFill="1" applyBorder="1"/>
    <xf numFmtId="2" fontId="3" fillId="0" borderId="4" xfId="0" applyNumberFormat="1" applyFont="1" applyFill="1" applyBorder="1"/>
    <xf numFmtId="3" fontId="5" fillId="3" borderId="10" xfId="0" applyNumberFormat="1" applyFont="1" applyFill="1" applyBorder="1" applyProtection="1">
      <protection hidden="1"/>
    </xf>
    <xf numFmtId="2" fontId="5" fillId="3" borderId="4" xfId="0" applyNumberFormat="1" applyFont="1" applyFill="1" applyBorder="1"/>
    <xf numFmtId="0" fontId="8" fillId="3" borderId="4" xfId="0" applyFont="1" applyFill="1" applyBorder="1"/>
    <xf numFmtId="3" fontId="8" fillId="3" borderId="0" xfId="0" applyNumberFormat="1" applyFont="1" applyFill="1" applyProtection="1">
      <protection hidden="1"/>
    </xf>
    <xf numFmtId="2" fontId="3" fillId="0" borderId="0" xfId="0" applyNumberFormat="1" applyFont="1" applyFill="1" applyBorder="1" applyAlignment="1">
      <alignment horizontal="left"/>
    </xf>
    <xf numFmtId="3" fontId="8" fillId="0" borderId="0" xfId="0" applyNumberFormat="1" applyFont="1" applyFill="1" applyBorder="1"/>
    <xf numFmtId="3" fontId="8" fillId="3" borderId="0" xfId="0" applyNumberFormat="1" applyFont="1" applyFill="1" applyBorder="1"/>
    <xf numFmtId="3" fontId="8" fillId="3" borderId="0" xfId="0" applyNumberFormat="1" applyFont="1" applyFill="1"/>
    <xf numFmtId="3" fontId="8" fillId="0" borderId="0" xfId="0" applyNumberFormat="1" applyFont="1" applyFill="1" applyBorder="1" applyProtection="1">
      <protection hidden="1"/>
    </xf>
    <xf numFmtId="0" fontId="3" fillId="3" borderId="0" xfId="0" applyFont="1" applyFill="1" applyProtection="1">
      <protection hidden="1"/>
    </xf>
    <xf numFmtId="166" fontId="2" fillId="2" borderId="14" xfId="0" applyNumberFormat="1" applyFont="1" applyFill="1" applyBorder="1" applyAlignment="1" applyProtection="1">
      <alignment horizontal="center"/>
      <protection locked="0"/>
    </xf>
    <xf numFmtId="4" fontId="2" fillId="2" borderId="14" xfId="0" applyNumberFormat="1" applyFont="1" applyFill="1" applyBorder="1" applyAlignment="1" applyProtection="1">
      <alignment horizontal="center"/>
      <protection locked="0"/>
    </xf>
    <xf numFmtId="9" fontId="2" fillId="2" borderId="14" xfId="0" applyNumberFormat="1" applyFont="1" applyFill="1" applyBorder="1" applyAlignment="1" applyProtection="1">
      <alignment horizontal="center"/>
      <protection locked="0"/>
    </xf>
    <xf numFmtId="167" fontId="8" fillId="2" borderId="1" xfId="0" applyNumberFormat="1" applyFont="1" applyFill="1" applyBorder="1" applyProtection="1">
      <protection locked="0"/>
    </xf>
    <xf numFmtId="167" fontId="8" fillId="2" borderId="2" xfId="0" applyNumberFormat="1" applyFont="1" applyFill="1" applyBorder="1" applyProtection="1">
      <protection locked="0"/>
    </xf>
    <xf numFmtId="167" fontId="8" fillId="2" borderId="0" xfId="0" applyNumberFormat="1" applyFont="1" applyFill="1" applyBorder="1" applyProtection="1">
      <protection locked="0"/>
    </xf>
    <xf numFmtId="167" fontId="8" fillId="2" borderId="10" xfId="0" applyNumberFormat="1" applyFont="1" applyFill="1" applyBorder="1" applyProtection="1">
      <protection locked="0"/>
    </xf>
    <xf numFmtId="167" fontId="8" fillId="2" borderId="12" xfId="0" applyNumberFormat="1" applyFont="1" applyFill="1" applyBorder="1" applyProtection="1">
      <protection locked="0"/>
    </xf>
    <xf numFmtId="167" fontId="8" fillId="2" borderId="13" xfId="0" applyNumberFormat="1" applyFont="1" applyFill="1" applyBorder="1" applyProtection="1">
      <protection locked="0"/>
    </xf>
    <xf numFmtId="167" fontId="8" fillId="2" borderId="3" xfId="0" applyNumberFormat="1" applyFont="1" applyFill="1" applyBorder="1" applyProtection="1">
      <protection locked="0"/>
    </xf>
    <xf numFmtId="167" fontId="8" fillId="2" borderId="4" xfId="0" applyNumberFormat="1" applyFont="1" applyFill="1" applyBorder="1" applyProtection="1">
      <protection locked="0"/>
    </xf>
    <xf numFmtId="0" fontId="8" fillId="0" borderId="4" xfId="0" applyFont="1" applyBorder="1"/>
    <xf numFmtId="167" fontId="8" fillId="0" borderId="0" xfId="0" applyNumberFormat="1" applyFont="1" applyBorder="1"/>
    <xf numFmtId="167" fontId="8" fillId="0" borderId="10" xfId="0" applyNumberFormat="1" applyFont="1" applyBorder="1"/>
    <xf numFmtId="167" fontId="8" fillId="2" borderId="15" xfId="0" applyNumberFormat="1" applyFont="1" applyFill="1" applyBorder="1" applyProtection="1">
      <protection hidden="1"/>
    </xf>
    <xf numFmtId="167" fontId="8" fillId="2" borderId="7" xfId="0" applyNumberFormat="1" applyFont="1" applyFill="1" applyBorder="1" applyProtection="1">
      <protection hidden="1"/>
    </xf>
    <xf numFmtId="167" fontId="8" fillId="2" borderId="8" xfId="0" applyNumberFormat="1" applyFont="1" applyFill="1" applyBorder="1" applyProtection="1">
      <protection hidden="1"/>
    </xf>
    <xf numFmtId="0" fontId="33" fillId="3" borderId="0" xfId="0" applyFont="1" applyFill="1"/>
    <xf numFmtId="0" fontId="17" fillId="0" borderId="0" xfId="0" applyFont="1" applyFill="1" applyProtection="1">
      <protection hidden="1"/>
    </xf>
    <xf numFmtId="0" fontId="4" fillId="3" borderId="12" xfId="0" applyNumberFormat="1" applyFont="1" applyFill="1" applyBorder="1" applyAlignment="1" applyProtection="1">
      <alignment horizontal="right"/>
      <protection locked="0"/>
    </xf>
    <xf numFmtId="172" fontId="29" fillId="3" borderId="0" xfId="0" applyNumberFormat="1" applyFont="1" applyFill="1" applyBorder="1" applyAlignment="1">
      <alignment horizontal="left"/>
    </xf>
    <xf numFmtId="0" fontId="3" fillId="3" borderId="6" xfId="0" applyNumberFormat="1" applyFont="1" applyFill="1" applyBorder="1" applyAlignment="1" applyProtection="1">
      <alignment horizontal="right"/>
      <protection locked="0"/>
    </xf>
    <xf numFmtId="0" fontId="3" fillId="3" borderId="4" xfId="0" applyNumberFormat="1" applyFont="1" applyFill="1" applyBorder="1" applyAlignment="1" applyProtection="1">
      <alignment horizontal="right"/>
      <protection locked="0"/>
    </xf>
    <xf numFmtId="0" fontId="1" fillId="0" borderId="0" xfId="0" applyFont="1" applyFill="1"/>
    <xf numFmtId="0" fontId="1" fillId="0" borderId="0" xfId="0" applyFont="1" applyFill="1" applyAlignment="1" applyProtection="1">
      <alignment horizontal="right"/>
      <protection hidden="1"/>
    </xf>
    <xf numFmtId="0" fontId="1" fillId="0" borderId="0" xfId="0" applyFont="1" applyFill="1" applyProtection="1">
      <protection hidden="1"/>
    </xf>
    <xf numFmtId="0" fontId="8" fillId="5" borderId="0" xfId="0" applyFont="1" applyFill="1" applyProtection="1">
      <protection hidden="1"/>
    </xf>
    <xf numFmtId="0" fontId="10" fillId="5" borderId="0" xfId="0" applyFont="1" applyFill="1" applyAlignment="1" applyProtection="1">
      <alignment horizontal="right"/>
      <protection hidden="1"/>
    </xf>
    <xf numFmtId="0" fontId="1" fillId="0" borderId="0" xfId="0" applyFont="1" applyFill="1" applyAlignment="1" applyProtection="1">
      <alignment horizontal="left"/>
      <protection hidden="1"/>
    </xf>
    <xf numFmtId="2" fontId="19" fillId="2" borderId="0" xfId="0" applyNumberFormat="1" applyFont="1" applyFill="1" applyBorder="1"/>
    <xf numFmtId="0" fontId="8" fillId="0" borderId="0" xfId="0" applyFont="1" applyFill="1" applyAlignment="1" applyProtection="1">
      <alignment horizontal="center"/>
      <protection hidden="1"/>
    </xf>
    <xf numFmtId="0" fontId="6" fillId="0" borderId="0" xfId="0" applyFont="1" applyFill="1"/>
    <xf numFmtId="2" fontId="1" fillId="0" borderId="0" xfId="0" applyNumberFormat="1" applyFont="1" applyFill="1" applyAlignment="1" applyProtection="1">
      <alignment horizontal="right"/>
      <protection hidden="1"/>
    </xf>
    <xf numFmtId="2" fontId="1" fillId="0" borderId="0" xfId="0" applyNumberFormat="1" applyFont="1" applyFill="1" applyProtection="1">
      <protection hidden="1"/>
    </xf>
    <xf numFmtId="167" fontId="1" fillId="0" borderId="3" xfId="0" applyNumberFormat="1" applyFont="1" applyFill="1" applyBorder="1" applyAlignment="1" applyProtection="1">
      <alignment horizontal="left"/>
      <protection hidden="1"/>
    </xf>
    <xf numFmtId="167" fontId="1" fillId="0" borderId="0" xfId="0" applyNumberFormat="1" applyFont="1" applyFill="1" applyProtection="1">
      <protection hidden="1"/>
    </xf>
    <xf numFmtId="2" fontId="3" fillId="0" borderId="0" xfId="0" applyNumberFormat="1" applyFont="1" applyFill="1" applyBorder="1" applyAlignment="1" applyProtection="1">
      <alignment horizontal="center"/>
      <protection hidden="1"/>
    </xf>
    <xf numFmtId="0" fontId="1" fillId="0" borderId="0" xfId="0" applyFont="1" applyFill="1" applyBorder="1" applyProtection="1">
      <protection hidden="1"/>
    </xf>
    <xf numFmtId="2" fontId="1" fillId="4" borderId="0" xfId="0" applyNumberFormat="1" applyFont="1" applyFill="1" applyBorder="1" applyProtection="1">
      <protection hidden="1"/>
    </xf>
    <xf numFmtId="3" fontId="3" fillId="3" borderId="12" xfId="0" applyNumberFormat="1" applyFont="1" applyFill="1" applyBorder="1" applyProtection="1">
      <protection hidden="1"/>
    </xf>
    <xf numFmtId="3" fontId="3" fillId="3" borderId="13" xfId="0" applyNumberFormat="1" applyFont="1" applyFill="1" applyBorder="1" applyProtection="1">
      <protection hidden="1"/>
    </xf>
    <xf numFmtId="0" fontId="1" fillId="5" borderId="0" xfId="0" applyFont="1" applyFill="1" applyProtection="1">
      <protection hidden="1"/>
    </xf>
    <xf numFmtId="167" fontId="8" fillId="0" borderId="0" xfId="0" applyNumberFormat="1" applyFont="1" applyFill="1" applyBorder="1"/>
    <xf numFmtId="0" fontId="17" fillId="0" borderId="0" xfId="0" applyFont="1" applyFill="1" applyAlignment="1" applyProtection="1">
      <alignment horizontal="center"/>
      <protection hidden="1"/>
    </xf>
    <xf numFmtId="2" fontId="3" fillId="0" borderId="0" xfId="0" applyNumberFormat="1" applyFont="1" applyFill="1" applyAlignment="1" applyProtection="1">
      <alignment horizontal="center"/>
      <protection hidden="1"/>
    </xf>
    <xf numFmtId="0" fontId="3" fillId="0" borderId="0" xfId="0" applyFont="1" applyFill="1" applyAlignment="1" applyProtection="1">
      <alignment horizontal="center"/>
      <protection hidden="1"/>
    </xf>
    <xf numFmtId="2" fontId="17" fillId="0" borderId="0" xfId="0" applyNumberFormat="1" applyFont="1" applyFill="1" applyAlignment="1" applyProtection="1">
      <alignment horizontal="center"/>
      <protection hidden="1"/>
    </xf>
    <xf numFmtId="0" fontId="1" fillId="3" borderId="15" xfId="0" applyFont="1" applyFill="1" applyBorder="1" applyAlignment="1">
      <alignment horizontal="left"/>
    </xf>
    <xf numFmtId="0" fontId="3" fillId="0" borderId="0" xfId="0" applyFont="1" applyFill="1" applyAlignment="1" applyProtection="1">
      <alignment horizontal="right"/>
      <protection hidden="1"/>
    </xf>
    <xf numFmtId="3" fontId="4" fillId="3" borderId="0" xfId="0" applyNumberFormat="1" applyFont="1" applyFill="1"/>
    <xf numFmtId="3" fontId="3" fillId="3" borderId="0" xfId="0" applyNumberFormat="1" applyFont="1" applyFill="1"/>
    <xf numFmtId="3" fontId="4" fillId="0" borderId="0" xfId="0" applyNumberFormat="1" applyFont="1"/>
    <xf numFmtId="3" fontId="3" fillId="0" borderId="0" xfId="0" applyNumberFormat="1" applyFont="1"/>
    <xf numFmtId="3" fontId="0" fillId="3" borderId="0" xfId="0" applyNumberFormat="1" applyFill="1"/>
    <xf numFmtId="3" fontId="0" fillId="0" borderId="0" xfId="0" applyNumberFormat="1"/>
    <xf numFmtId="172" fontId="4" fillId="3" borderId="0" xfId="0" applyNumberFormat="1" applyFont="1" applyFill="1"/>
    <xf numFmtId="167" fontId="3" fillId="0" borderId="0" xfId="0" applyNumberFormat="1" applyFont="1" applyFill="1" applyBorder="1" applyProtection="1">
      <protection hidden="1"/>
    </xf>
    <xf numFmtId="3" fontId="5" fillId="0" borderId="0" xfId="0" applyNumberFormat="1" applyFont="1" applyFill="1" applyBorder="1" applyProtection="1">
      <protection hidden="1"/>
    </xf>
    <xf numFmtId="167" fontId="5" fillId="0" borderId="0" xfId="0" applyNumberFormat="1" applyFont="1" applyFill="1" applyBorder="1" applyProtection="1">
      <protection hidden="1"/>
    </xf>
    <xf numFmtId="167" fontId="3" fillId="0" borderId="12" xfId="0" applyNumberFormat="1" applyFont="1" applyFill="1" applyBorder="1" applyProtection="1">
      <protection hidden="1"/>
    </xf>
    <xf numFmtId="167" fontId="10" fillId="0" borderId="12" xfId="0" applyNumberFormat="1" applyFont="1" applyFill="1" applyBorder="1" applyProtection="1">
      <protection hidden="1"/>
    </xf>
    <xf numFmtId="0" fontId="5" fillId="0" borderId="0" xfId="0" applyFont="1" applyFill="1" applyProtection="1">
      <protection hidden="1"/>
    </xf>
    <xf numFmtId="168" fontId="10" fillId="0" borderId="0" xfId="0" applyNumberFormat="1" applyFont="1" applyFill="1" applyBorder="1"/>
    <xf numFmtId="167" fontId="5" fillId="0" borderId="0" xfId="0" applyNumberFormat="1" applyFont="1" applyFill="1" applyBorder="1"/>
    <xf numFmtId="167" fontId="5" fillId="0" borderId="1" xfId="0" applyNumberFormat="1" applyFont="1" applyFill="1" applyBorder="1"/>
    <xf numFmtId="167" fontId="3" fillId="0" borderId="7" xfId="0" applyNumberFormat="1" applyFont="1" applyFill="1" applyBorder="1" applyProtection="1">
      <protection hidden="1"/>
    </xf>
    <xf numFmtId="167" fontId="8" fillId="0" borderId="1" xfId="0" applyNumberFormat="1" applyFont="1" applyFill="1" applyBorder="1" applyProtection="1">
      <protection hidden="1"/>
    </xf>
    <xf numFmtId="167" fontId="10" fillId="0" borderId="0" xfId="0" applyNumberFormat="1" applyFont="1" applyFill="1" applyBorder="1" applyProtection="1">
      <protection hidden="1"/>
    </xf>
    <xf numFmtId="3" fontId="8" fillId="0" borderId="12" xfId="0" applyNumberFormat="1" applyFont="1" applyFill="1" applyBorder="1" applyProtection="1">
      <protection hidden="1"/>
    </xf>
    <xf numFmtId="3" fontId="10" fillId="0" borderId="12" xfId="0" applyNumberFormat="1" applyFont="1" applyFill="1" applyBorder="1" applyProtection="1">
      <protection hidden="1"/>
    </xf>
    <xf numFmtId="167" fontId="5" fillId="0" borderId="12" xfId="0" applyNumberFormat="1" applyFont="1" applyFill="1" applyBorder="1" applyProtection="1">
      <protection hidden="1"/>
    </xf>
    <xf numFmtId="167" fontId="3" fillId="0" borderId="0" xfId="0" applyNumberFormat="1" applyFont="1" applyFill="1"/>
    <xf numFmtId="0" fontId="3" fillId="0" borderId="0" xfId="0" applyFont="1" applyFill="1"/>
    <xf numFmtId="3" fontId="1" fillId="0" borderId="0" xfId="0" applyNumberFormat="1" applyFont="1" applyFill="1" applyAlignment="1" applyProtection="1">
      <alignment horizontal="right"/>
      <protection locked="0"/>
    </xf>
    <xf numFmtId="1" fontId="1" fillId="0" borderId="0" xfId="0" applyNumberFormat="1" applyFont="1" applyFill="1" applyProtection="1">
      <protection hidden="1"/>
    </xf>
    <xf numFmtId="1" fontId="1" fillId="0" borderId="0" xfId="0" applyNumberFormat="1" applyFont="1" applyFill="1"/>
    <xf numFmtId="3" fontId="37" fillId="3" borderId="0" xfId="0" applyNumberFormat="1" applyFont="1" applyFill="1"/>
    <xf numFmtId="3" fontId="37" fillId="0" borderId="0" xfId="0" applyNumberFormat="1" applyFont="1"/>
    <xf numFmtId="167" fontId="37" fillId="0" borderId="0" xfId="0" applyNumberFormat="1" applyFont="1"/>
    <xf numFmtId="0" fontId="37" fillId="0" borderId="0" xfId="0" applyFont="1"/>
    <xf numFmtId="0" fontId="2" fillId="5" borderId="0" xfId="0" applyFont="1" applyFill="1" applyProtection="1">
      <protection hidden="1"/>
    </xf>
    <xf numFmtId="2" fontId="1" fillId="5" borderId="0" xfId="0" applyNumberFormat="1" applyFont="1" applyFill="1" applyBorder="1" applyProtection="1">
      <protection hidden="1"/>
    </xf>
    <xf numFmtId="3" fontId="8" fillId="5" borderId="0" xfId="0" applyNumberFormat="1" applyFont="1" applyFill="1" applyAlignment="1" applyProtection="1">
      <alignment horizontal="right"/>
      <protection locked="0"/>
    </xf>
    <xf numFmtId="3" fontId="1" fillId="5" borderId="0" xfId="0" applyNumberFormat="1" applyFont="1" applyFill="1" applyAlignment="1" applyProtection="1">
      <alignment horizontal="right"/>
      <protection hidden="1"/>
    </xf>
    <xf numFmtId="3" fontId="8" fillId="5" borderId="0" xfId="0" applyNumberFormat="1" applyFont="1" applyFill="1"/>
    <xf numFmtId="0" fontId="3" fillId="5" borderId="0" xfId="0" applyFont="1" applyFill="1" applyAlignment="1" applyProtection="1">
      <alignment horizontal="right"/>
      <protection hidden="1"/>
    </xf>
    <xf numFmtId="3" fontId="1" fillId="0" borderId="0" xfId="0" applyNumberFormat="1" applyFont="1" applyFill="1" applyAlignment="1" applyProtection="1">
      <alignment horizontal="right"/>
      <protection hidden="1"/>
    </xf>
    <xf numFmtId="3" fontId="1" fillId="5" borderId="0" xfId="0" applyNumberFormat="1" applyFont="1" applyFill="1"/>
    <xf numFmtId="3" fontId="1" fillId="5" borderId="0" xfId="0" applyNumberFormat="1" applyFont="1" applyFill="1" applyProtection="1">
      <protection hidden="1"/>
    </xf>
    <xf numFmtId="167" fontId="8" fillId="7" borderId="1" xfId="0" applyNumberFormat="1" applyFont="1" applyFill="1" applyBorder="1" applyProtection="1">
      <protection hidden="1"/>
    </xf>
    <xf numFmtId="167" fontId="8" fillId="7" borderId="0" xfId="0" applyNumberFormat="1" applyFont="1" applyFill="1" applyBorder="1" applyProtection="1">
      <protection hidden="1"/>
    </xf>
    <xf numFmtId="167" fontId="5" fillId="7" borderId="0" xfId="0" applyNumberFormat="1" applyFont="1" applyFill="1" applyBorder="1" applyProtection="1">
      <protection hidden="1"/>
    </xf>
    <xf numFmtId="167" fontId="5" fillId="7" borderId="10" xfId="0" applyNumberFormat="1" applyFont="1" applyFill="1" applyBorder="1" applyProtection="1">
      <protection hidden="1"/>
    </xf>
    <xf numFmtId="0" fontId="3" fillId="0" borderId="3" xfId="0" applyFont="1" applyFill="1" applyBorder="1" applyAlignment="1">
      <alignment horizontal="right"/>
    </xf>
    <xf numFmtId="167" fontId="1" fillId="0" borderId="0" xfId="0" applyNumberFormat="1" applyFont="1" applyFill="1"/>
    <xf numFmtId="4" fontId="1" fillId="0" borderId="0" xfId="0" applyNumberFormat="1" applyFont="1" applyFill="1" applyProtection="1">
      <protection hidden="1"/>
    </xf>
    <xf numFmtId="167" fontId="1" fillId="0" borderId="0" xfId="0" applyNumberFormat="1" applyFont="1" applyFill="1" applyAlignment="1" applyProtection="1">
      <alignment horizontal="right"/>
      <protection locked="0"/>
    </xf>
    <xf numFmtId="167" fontId="1" fillId="0" borderId="0" xfId="0" applyNumberFormat="1" applyFont="1" applyFill="1" applyProtection="1">
      <protection locked="0"/>
    </xf>
    <xf numFmtId="4" fontId="3" fillId="0" borderId="0" xfId="0" applyNumberFormat="1" applyFont="1" applyFill="1" applyAlignment="1" applyProtection="1">
      <alignment horizontal="center"/>
      <protection hidden="1"/>
    </xf>
    <xf numFmtId="167" fontId="1" fillId="3" borderId="12" xfId="0" applyNumberFormat="1" applyFont="1" applyFill="1" applyBorder="1" applyAlignment="1" applyProtection="1">
      <alignment horizontal="left"/>
      <protection hidden="1"/>
    </xf>
    <xf numFmtId="167" fontId="3" fillId="3" borderId="4" xfId="0" applyNumberFormat="1" applyFont="1" applyFill="1" applyBorder="1"/>
    <xf numFmtId="167" fontId="3" fillId="3" borderId="16" xfId="0" applyNumberFormat="1" applyFont="1" applyFill="1" applyBorder="1"/>
    <xf numFmtId="167" fontId="37" fillId="3" borderId="16" xfId="0" applyNumberFormat="1" applyFont="1" applyFill="1" applyBorder="1"/>
    <xf numFmtId="167" fontId="8" fillId="3" borderId="16" xfId="0" applyNumberFormat="1" applyFont="1" applyFill="1" applyBorder="1"/>
    <xf numFmtId="167" fontId="3" fillId="6" borderId="0" xfId="0" applyNumberFormat="1" applyFont="1" applyFill="1"/>
    <xf numFmtId="3" fontId="8" fillId="0" borderId="0" xfId="0" applyNumberFormat="1" applyFont="1" applyFill="1" applyAlignment="1" applyProtection="1">
      <alignment horizontal="right"/>
      <protection locked="0"/>
    </xf>
    <xf numFmtId="3" fontId="1" fillId="5" borderId="0" xfId="0" applyNumberFormat="1" applyFont="1" applyFill="1" applyAlignment="1" applyProtection="1">
      <alignment horizontal="right"/>
      <protection locked="0"/>
    </xf>
    <xf numFmtId="169" fontId="3" fillId="3" borderId="0" xfId="0" applyNumberFormat="1" applyFont="1" applyFill="1" applyAlignment="1">
      <alignment horizontal="center"/>
    </xf>
    <xf numFmtId="167" fontId="3" fillId="3" borderId="0" xfId="0" applyNumberFormat="1" applyFont="1" applyFill="1" applyAlignment="1">
      <alignment vertical="top"/>
    </xf>
    <xf numFmtId="0" fontId="3" fillId="5" borderId="0" xfId="0" applyFont="1" applyFill="1" applyProtection="1">
      <protection hidden="1"/>
    </xf>
    <xf numFmtId="3" fontId="8" fillId="0" borderId="0" xfId="0" applyNumberFormat="1" applyFont="1" applyFill="1" applyAlignment="1">
      <alignment horizontal="right"/>
    </xf>
    <xf numFmtId="3" fontId="1" fillId="0" borderId="0" xfId="0" applyNumberFormat="1" applyFont="1" applyFill="1"/>
    <xf numFmtId="0" fontId="10" fillId="0" borderId="0" xfId="0" applyFont="1" applyFill="1" applyAlignment="1" applyProtection="1">
      <alignment horizontal="center"/>
      <protection hidden="1"/>
    </xf>
    <xf numFmtId="2" fontId="1" fillId="3" borderId="0" xfId="0" applyNumberFormat="1" applyFont="1" applyFill="1" applyBorder="1"/>
    <xf numFmtId="0" fontId="2" fillId="0" borderId="0" xfId="0" applyFont="1" applyFill="1"/>
    <xf numFmtId="167" fontId="8" fillId="6" borderId="6" xfId="0" applyNumberFormat="1" applyFont="1" applyFill="1" applyBorder="1" applyProtection="1">
      <protection hidden="1"/>
    </xf>
    <xf numFmtId="2" fontId="3" fillId="8" borderId="3" xfId="0" applyNumberFormat="1" applyFont="1" applyFill="1" applyBorder="1"/>
    <xf numFmtId="167" fontId="3" fillId="8" borderId="9" xfId="0" applyNumberFormat="1" applyFont="1" applyFill="1" applyBorder="1" applyProtection="1">
      <protection hidden="1"/>
    </xf>
    <xf numFmtId="167" fontId="3" fillId="8" borderId="3" xfId="0" applyNumberFormat="1" applyFont="1" applyFill="1" applyBorder="1" applyProtection="1">
      <protection hidden="1"/>
    </xf>
    <xf numFmtId="167" fontId="3" fillId="8" borderId="1" xfId="0" applyNumberFormat="1" applyFont="1" applyFill="1" applyBorder="1" applyProtection="1">
      <protection hidden="1"/>
    </xf>
    <xf numFmtId="167" fontId="3" fillId="8" borderId="2" xfId="0" applyNumberFormat="1" applyFont="1" applyFill="1" applyBorder="1" applyProtection="1">
      <protection hidden="1"/>
    </xf>
    <xf numFmtId="2" fontId="10" fillId="8" borderId="5" xfId="0" applyNumberFormat="1" applyFont="1" applyFill="1" applyBorder="1" applyAlignment="1">
      <alignment horizontal="center"/>
    </xf>
    <xf numFmtId="167" fontId="10" fillId="8" borderId="11" xfId="0" applyNumberFormat="1" applyFont="1" applyFill="1" applyBorder="1" applyProtection="1">
      <protection hidden="1"/>
    </xf>
    <xf numFmtId="167" fontId="10" fillId="8" borderId="5" xfId="0" applyNumberFormat="1" applyFont="1" applyFill="1" applyBorder="1" applyProtection="1">
      <protection hidden="1"/>
    </xf>
    <xf numFmtId="167" fontId="10" fillId="8" borderId="12" xfId="0" applyNumberFormat="1" applyFont="1" applyFill="1" applyBorder="1" applyProtection="1">
      <protection hidden="1"/>
    </xf>
    <xf numFmtId="167" fontId="10" fillId="8" borderId="13" xfId="0" applyNumberFormat="1" applyFont="1" applyFill="1" applyBorder="1" applyProtection="1">
      <protection hidden="1"/>
    </xf>
    <xf numFmtId="2" fontId="3" fillId="8" borderId="4" xfId="0" applyNumberFormat="1" applyFont="1" applyFill="1" applyBorder="1"/>
    <xf numFmtId="167" fontId="3" fillId="8" borderId="6" xfId="0" applyNumberFormat="1" applyFont="1" applyFill="1" applyBorder="1" applyProtection="1">
      <protection hidden="1"/>
    </xf>
    <xf numFmtId="167" fontId="3" fillId="8" borderId="4" xfId="0" applyNumberFormat="1" applyFont="1" applyFill="1" applyBorder="1" applyProtection="1">
      <protection hidden="1"/>
    </xf>
    <xf numFmtId="167" fontId="3" fillId="8" borderId="0" xfId="0" applyNumberFormat="1" applyFont="1" applyFill="1" applyBorder="1" applyProtection="1">
      <protection hidden="1"/>
    </xf>
    <xf numFmtId="167" fontId="3" fillId="8" borderId="10" xfId="0" applyNumberFormat="1" applyFont="1" applyFill="1" applyBorder="1" applyProtection="1">
      <protection hidden="1"/>
    </xf>
    <xf numFmtId="2" fontId="3" fillId="8" borderId="3" xfId="0" applyNumberFormat="1" applyFont="1" applyFill="1" applyBorder="1" applyAlignment="1">
      <alignment horizontal="left"/>
    </xf>
    <xf numFmtId="3" fontId="3" fillId="8" borderId="1" xfId="0" applyNumberFormat="1" applyFont="1" applyFill="1" applyBorder="1" applyProtection="1">
      <protection hidden="1"/>
    </xf>
    <xf numFmtId="3" fontId="3" fillId="8" borderId="2" xfId="0" applyNumberFormat="1" applyFont="1" applyFill="1" applyBorder="1" applyProtection="1">
      <protection hidden="1"/>
    </xf>
    <xf numFmtId="3" fontId="10" fillId="8" borderId="11" xfId="0" applyNumberFormat="1" applyFont="1" applyFill="1" applyBorder="1" applyProtection="1">
      <protection hidden="1"/>
    </xf>
    <xf numFmtId="3" fontId="10" fillId="8" borderId="12" xfId="0" applyNumberFormat="1" applyFont="1" applyFill="1" applyBorder="1" applyProtection="1">
      <protection hidden="1"/>
    </xf>
    <xf numFmtId="3" fontId="10" fillId="8" borderId="13" xfId="0" applyNumberFormat="1" applyFont="1" applyFill="1" applyBorder="1" applyProtection="1">
      <protection hidden="1"/>
    </xf>
    <xf numFmtId="168" fontId="3" fillId="9" borderId="4" xfId="0" applyNumberFormat="1" applyFont="1" applyFill="1" applyBorder="1" applyProtection="1">
      <protection locked="0"/>
    </xf>
    <xf numFmtId="168" fontId="3" fillId="9" borderId="0" xfId="0" applyNumberFormat="1" applyFont="1" applyFill="1" applyBorder="1" applyProtection="1">
      <protection locked="0"/>
    </xf>
    <xf numFmtId="168" fontId="3" fillId="9" borderId="10" xfId="0" applyNumberFormat="1" applyFont="1" applyFill="1" applyBorder="1" applyProtection="1">
      <protection locked="0"/>
    </xf>
    <xf numFmtId="3" fontId="18" fillId="9" borderId="9" xfId="0" applyNumberFormat="1" applyFont="1" applyFill="1" applyBorder="1"/>
    <xf numFmtId="3" fontId="5" fillId="9" borderId="1" xfId="0" applyNumberFormat="1" applyFont="1" applyFill="1" applyBorder="1"/>
    <xf numFmtId="3" fontId="5" fillId="9" borderId="2" xfId="0" applyNumberFormat="1" applyFont="1" applyFill="1" applyBorder="1"/>
    <xf numFmtId="168" fontId="21" fillId="9" borderId="1" xfId="0" applyNumberFormat="1" applyFont="1" applyFill="1" applyBorder="1" applyProtection="1">
      <protection locked="0"/>
    </xf>
    <xf numFmtId="168" fontId="21" fillId="9" borderId="0" xfId="0" applyNumberFormat="1" applyFont="1" applyFill="1" applyBorder="1" applyProtection="1">
      <protection locked="0"/>
    </xf>
    <xf numFmtId="168" fontId="21" fillId="9" borderId="10" xfId="0" applyNumberFormat="1" applyFont="1" applyFill="1" applyBorder="1" applyProtection="1">
      <protection locked="0"/>
    </xf>
    <xf numFmtId="168" fontId="21" fillId="9" borderId="12" xfId="0" applyNumberFormat="1" applyFont="1" applyFill="1" applyBorder="1" applyProtection="1">
      <protection locked="0"/>
    </xf>
    <xf numFmtId="168" fontId="21" fillId="9" borderId="13" xfId="0" applyNumberFormat="1" applyFont="1" applyFill="1" applyBorder="1" applyProtection="1">
      <protection locked="0"/>
    </xf>
    <xf numFmtId="168" fontId="21" fillId="9" borderId="4" xfId="0" applyNumberFormat="1" applyFont="1" applyFill="1" applyBorder="1" applyProtection="1">
      <protection locked="0"/>
    </xf>
    <xf numFmtId="168" fontId="21" fillId="9" borderId="5" xfId="0" applyNumberFormat="1" applyFont="1" applyFill="1" applyBorder="1" applyProtection="1">
      <protection locked="0"/>
    </xf>
    <xf numFmtId="168" fontId="3" fillId="6" borderId="5" xfId="0" applyNumberFormat="1" applyFont="1" applyFill="1" applyBorder="1" applyProtection="1">
      <protection locked="0"/>
    </xf>
    <xf numFmtId="168" fontId="3" fillId="6" borderId="12" xfId="0" applyNumberFormat="1" applyFont="1" applyFill="1" applyBorder="1" applyProtection="1">
      <protection locked="0"/>
    </xf>
    <xf numFmtId="168" fontId="3" fillId="9" borderId="10" xfId="0" applyNumberFormat="1" applyFont="1" applyFill="1" applyBorder="1" applyAlignment="1" applyProtection="1">
      <alignment horizontal="right"/>
      <protection locked="0"/>
    </xf>
    <xf numFmtId="168" fontId="3" fillId="9" borderId="3" xfId="0" applyNumberFormat="1" applyFont="1" applyFill="1" applyBorder="1" applyProtection="1">
      <protection locked="0"/>
    </xf>
    <xf numFmtId="168" fontId="3" fillId="9" borderId="1" xfId="0" applyNumberFormat="1" applyFont="1" applyFill="1" applyBorder="1" applyProtection="1">
      <protection locked="0"/>
    </xf>
    <xf numFmtId="168" fontId="3" fillId="9" borderId="2" xfId="0" applyNumberFormat="1" applyFont="1" applyFill="1" applyBorder="1" applyAlignment="1" applyProtection="1">
      <alignment horizontal="right"/>
      <protection locked="0"/>
    </xf>
    <xf numFmtId="168" fontId="3" fillId="6" borderId="13" xfId="0" applyNumberFormat="1" applyFont="1" applyFill="1" applyBorder="1" applyProtection="1">
      <protection locked="0"/>
    </xf>
    <xf numFmtId="168" fontId="21" fillId="9" borderId="3" xfId="0" applyNumberFormat="1" applyFont="1" applyFill="1" applyBorder="1" applyProtection="1">
      <protection locked="0"/>
    </xf>
    <xf numFmtId="168" fontId="21" fillId="9" borderId="2" xfId="0" applyNumberFormat="1" applyFont="1" applyFill="1" applyBorder="1" applyProtection="1">
      <protection locked="0"/>
    </xf>
    <xf numFmtId="167" fontId="1" fillId="7" borderId="3" xfId="0" applyNumberFormat="1" applyFont="1" applyFill="1" applyBorder="1" applyProtection="1">
      <protection hidden="1"/>
    </xf>
    <xf numFmtId="167" fontId="1" fillId="7" borderId="1" xfId="0" applyNumberFormat="1" applyFont="1" applyFill="1" applyBorder="1" applyProtection="1">
      <protection hidden="1"/>
    </xf>
    <xf numFmtId="167" fontId="1" fillId="7" borderId="2" xfId="0" applyNumberFormat="1" applyFont="1" applyFill="1" applyBorder="1" applyProtection="1">
      <protection hidden="1"/>
    </xf>
    <xf numFmtId="167" fontId="1" fillId="7" borderId="4" xfId="0" applyNumberFormat="1" applyFont="1" applyFill="1" applyBorder="1" applyProtection="1">
      <protection hidden="1"/>
    </xf>
    <xf numFmtId="167" fontId="1" fillId="7" borderId="0" xfId="0" applyNumberFormat="1" applyFont="1" applyFill="1" applyBorder="1" applyProtection="1">
      <protection hidden="1"/>
    </xf>
    <xf numFmtId="167" fontId="1" fillId="7" borderId="10" xfId="0" applyNumberFormat="1" applyFont="1" applyFill="1" applyBorder="1" applyProtection="1">
      <protection hidden="1"/>
    </xf>
    <xf numFmtId="2" fontId="3" fillId="8" borderId="5" xfId="0" applyNumberFormat="1" applyFont="1" applyFill="1" applyBorder="1"/>
    <xf numFmtId="167" fontId="3" fillId="8" borderId="11" xfId="0" applyNumberFormat="1" applyFont="1" applyFill="1" applyBorder="1" applyProtection="1">
      <protection hidden="1"/>
    </xf>
    <xf numFmtId="167" fontId="3" fillId="8" borderId="5" xfId="0" applyNumberFormat="1" applyFont="1" applyFill="1" applyBorder="1" applyProtection="1">
      <protection hidden="1"/>
    </xf>
    <xf numFmtId="167" fontId="3" fillId="8" borderId="12" xfId="0" applyNumberFormat="1" applyFont="1" applyFill="1" applyBorder="1" applyProtection="1">
      <protection hidden="1"/>
    </xf>
    <xf numFmtId="167" fontId="3" fillId="8" borderId="13" xfId="0" applyNumberFormat="1" applyFont="1" applyFill="1" applyBorder="1" applyProtection="1">
      <protection hidden="1"/>
    </xf>
    <xf numFmtId="167" fontId="1" fillId="3" borderId="9" xfId="0" applyNumberFormat="1" applyFont="1" applyFill="1" applyBorder="1" applyProtection="1">
      <protection hidden="1"/>
    </xf>
    <xf numFmtId="167" fontId="1" fillId="3" borderId="6" xfId="0" applyNumberFormat="1" applyFont="1" applyFill="1" applyBorder="1" applyProtection="1">
      <protection hidden="1"/>
    </xf>
    <xf numFmtId="167" fontId="5" fillId="6" borderId="12" xfId="0" applyNumberFormat="1" applyFont="1" applyFill="1" applyBorder="1"/>
    <xf numFmtId="167" fontId="5" fillId="6" borderId="13" xfId="0" applyNumberFormat="1" applyFont="1" applyFill="1" applyBorder="1"/>
    <xf numFmtId="167" fontId="5" fillId="3" borderId="5" xfId="0" applyNumberFormat="1" applyFont="1" applyFill="1" applyBorder="1" applyProtection="1">
      <protection hidden="1"/>
    </xf>
    <xf numFmtId="168" fontId="3" fillId="6" borderId="15" xfId="0" applyNumberFormat="1" applyFont="1" applyFill="1" applyBorder="1" applyProtection="1"/>
    <xf numFmtId="168" fontId="3" fillId="6" borderId="7" xfId="0" applyNumberFormat="1" applyFont="1" applyFill="1" applyBorder="1" applyProtection="1"/>
    <xf numFmtId="168" fontId="3" fillId="6" borderId="8" xfId="0" applyNumberFormat="1" applyFont="1" applyFill="1" applyBorder="1" applyProtection="1"/>
    <xf numFmtId="167" fontId="3" fillId="5" borderId="0" xfId="0" applyNumberFormat="1" applyFont="1" applyFill="1"/>
    <xf numFmtId="167" fontId="37" fillId="5" borderId="0" xfId="0" applyNumberFormat="1" applyFont="1" applyFill="1"/>
    <xf numFmtId="167" fontId="8" fillId="5" borderId="0" xfId="0" applyNumberFormat="1" applyFont="1" applyFill="1"/>
    <xf numFmtId="2" fontId="3" fillId="5" borderId="4" xfId="0" applyNumberFormat="1" applyFont="1" applyFill="1" applyBorder="1"/>
    <xf numFmtId="2" fontId="3" fillId="5" borderId="4" xfId="0" applyNumberFormat="1" applyFont="1" applyFill="1" applyBorder="1" applyAlignment="1">
      <alignment horizontal="center"/>
    </xf>
    <xf numFmtId="2" fontId="3" fillId="6" borderId="5" xfId="0" applyNumberFormat="1" applyFont="1" applyFill="1" applyBorder="1"/>
    <xf numFmtId="167" fontId="3" fillId="3" borderId="0" xfId="0" applyNumberFormat="1" applyFont="1" applyFill="1" applyBorder="1"/>
    <xf numFmtId="167" fontId="8" fillId="7" borderId="3" xfId="0" applyNumberFormat="1" applyFont="1" applyFill="1" applyBorder="1" applyProtection="1">
      <protection hidden="1"/>
    </xf>
    <xf numFmtId="167" fontId="8" fillId="7" borderId="2" xfId="0" applyNumberFormat="1" applyFont="1" applyFill="1" applyBorder="1" applyProtection="1">
      <protection hidden="1"/>
    </xf>
    <xf numFmtId="167" fontId="8" fillId="7" borderId="4" xfId="0" applyNumberFormat="1" applyFont="1" applyFill="1" applyBorder="1" applyProtection="1">
      <protection hidden="1"/>
    </xf>
    <xf numFmtId="167" fontId="8" fillId="7" borderId="10" xfId="0" applyNumberFormat="1" applyFont="1" applyFill="1" applyBorder="1" applyProtection="1">
      <protection hidden="1"/>
    </xf>
    <xf numFmtId="167" fontId="3" fillId="6" borderId="0" xfId="0" applyNumberFormat="1" applyFont="1" applyFill="1" applyBorder="1"/>
    <xf numFmtId="3" fontId="5" fillId="5" borderId="0" xfId="0" applyNumberFormat="1" applyFont="1" applyFill="1"/>
    <xf numFmtId="167" fontId="5" fillId="5" borderId="0" xfId="0" applyNumberFormat="1" applyFont="1" applyFill="1"/>
    <xf numFmtId="4" fontId="3" fillId="3" borderId="7" xfId="0" applyNumberFormat="1" applyFont="1" applyFill="1" applyBorder="1" applyProtection="1">
      <protection hidden="1"/>
    </xf>
    <xf numFmtId="4" fontId="1" fillId="0" borderId="0" xfId="0" applyNumberFormat="1" applyFont="1" applyFill="1"/>
    <xf numFmtId="0" fontId="1" fillId="0" borderId="0" xfId="0" applyFont="1" applyFill="1" applyAlignment="1" applyProtection="1">
      <alignment horizontal="right"/>
      <protection locked="0"/>
    </xf>
    <xf numFmtId="3" fontId="1" fillId="3" borderId="0" xfId="0" applyNumberFormat="1" applyFont="1" applyFill="1" applyBorder="1" applyProtection="1">
      <protection hidden="1"/>
    </xf>
    <xf numFmtId="167" fontId="8" fillId="7" borderId="5" xfId="0" applyNumberFormat="1" applyFont="1" applyFill="1" applyBorder="1" applyProtection="1">
      <protection hidden="1"/>
    </xf>
    <xf numFmtId="167" fontId="8" fillId="7" borderId="12" xfId="0" applyNumberFormat="1" applyFont="1" applyFill="1" applyBorder="1" applyProtection="1">
      <protection hidden="1"/>
    </xf>
    <xf numFmtId="167" fontId="8" fillId="7" borderId="13" xfId="0" applyNumberFormat="1" applyFont="1" applyFill="1" applyBorder="1" applyProtection="1">
      <protection hidden="1"/>
    </xf>
    <xf numFmtId="0" fontId="3" fillId="0" borderId="12" xfId="0" applyFont="1" applyBorder="1" applyAlignment="1">
      <alignment horizontal="left"/>
    </xf>
    <xf numFmtId="0" fontId="3" fillId="0" borderId="12" xfId="0" applyFont="1" applyBorder="1"/>
    <xf numFmtId="2" fontId="1" fillId="3" borderId="0" xfId="0" applyNumberFormat="1" applyFont="1" applyFill="1" applyBorder="1" applyProtection="1">
      <protection locked="0"/>
    </xf>
    <xf numFmtId="2" fontId="1" fillId="3" borderId="4" xfId="0" applyNumberFormat="1" applyFont="1" applyFill="1" applyBorder="1" applyAlignment="1">
      <alignment horizontal="center"/>
    </xf>
    <xf numFmtId="2" fontId="3" fillId="5" borderId="0" xfId="0" applyNumberFormat="1" applyFont="1" applyFill="1" applyBorder="1" applyProtection="1">
      <protection hidden="1"/>
    </xf>
    <xf numFmtId="0" fontId="3" fillId="5" borderId="4" xfId="0" applyFont="1" applyFill="1" applyBorder="1"/>
    <xf numFmtId="0" fontId="39" fillId="0" borderId="0" xfId="0" applyFont="1" applyFill="1" applyProtection="1">
      <protection hidden="1"/>
    </xf>
    <xf numFmtId="2" fontId="39" fillId="0" borderId="0" xfId="0" applyNumberFormat="1" applyFont="1" applyFill="1" applyBorder="1" applyAlignment="1" applyProtection="1">
      <alignment horizontal="center"/>
      <protection hidden="1"/>
    </xf>
    <xf numFmtId="2" fontId="39" fillId="0" borderId="0" xfId="0" applyNumberFormat="1" applyFont="1" applyFill="1" applyBorder="1" applyProtection="1">
      <protection hidden="1"/>
    </xf>
    <xf numFmtId="2" fontId="41" fillId="0" borderId="5" xfId="0" applyNumberFormat="1" applyFont="1" applyFill="1" applyBorder="1" applyAlignment="1" applyProtection="1">
      <alignment horizontal="center"/>
      <protection hidden="1"/>
    </xf>
    <xf numFmtId="1" fontId="39" fillId="0" borderId="0" xfId="0" applyNumberFormat="1" applyFont="1" applyFill="1" applyProtection="1">
      <protection hidden="1"/>
    </xf>
    <xf numFmtId="167" fontId="39" fillId="0" borderId="0" xfId="0" applyNumberFormat="1" applyFont="1" applyFill="1" applyProtection="1">
      <protection hidden="1"/>
    </xf>
    <xf numFmtId="1" fontId="40" fillId="0" borderId="0" xfId="0" applyNumberFormat="1" applyFont="1" applyFill="1" applyProtection="1">
      <protection hidden="1"/>
    </xf>
    <xf numFmtId="3" fontId="39" fillId="0" borderId="0" xfId="0" applyNumberFormat="1" applyFont="1" applyFill="1" applyProtection="1">
      <protection hidden="1"/>
    </xf>
    <xf numFmtId="167" fontId="39" fillId="0" borderId="0" xfId="0" applyNumberFormat="1" applyFont="1" applyFill="1" applyProtection="1">
      <protection locked="0"/>
    </xf>
    <xf numFmtId="167" fontId="39" fillId="0" borderId="0" xfId="0" applyNumberFormat="1" applyFont="1" applyFill="1" applyAlignment="1" applyProtection="1">
      <alignment horizontal="right"/>
      <protection locked="0"/>
    </xf>
    <xf numFmtId="3" fontId="39" fillId="0" borderId="0" xfId="0" applyNumberFormat="1" applyFont="1" applyFill="1" applyAlignment="1" applyProtection="1">
      <alignment horizontal="right"/>
      <protection locked="0"/>
    </xf>
    <xf numFmtId="167" fontId="8" fillId="6" borderId="4" xfId="0" applyNumberFormat="1" applyFont="1" applyFill="1" applyBorder="1" applyProtection="1">
      <protection locked="0"/>
    </xf>
    <xf numFmtId="0" fontId="4" fillId="3" borderId="5" xfId="0" applyNumberFormat="1" applyFont="1" applyFill="1" applyBorder="1" applyAlignment="1" applyProtection="1">
      <alignment horizontal="right"/>
      <protection locked="0"/>
    </xf>
    <xf numFmtId="167" fontId="1" fillId="0" borderId="0" xfId="0" applyNumberFormat="1" applyFont="1" applyFill="1" applyProtection="1"/>
    <xf numFmtId="2" fontId="1" fillId="0" borderId="0" xfId="0" applyNumberFormat="1" applyFont="1" applyFill="1" applyBorder="1" applyAlignment="1" applyProtection="1">
      <alignment horizontal="center"/>
      <protection hidden="1"/>
    </xf>
    <xf numFmtId="2" fontId="1" fillId="0" borderId="0" xfId="0" applyNumberFormat="1" applyFont="1" applyFill="1" applyBorder="1" applyProtection="1">
      <protection hidden="1"/>
    </xf>
    <xf numFmtId="167" fontId="12" fillId="0" borderId="0" xfId="0" applyNumberFormat="1" applyFont="1" applyFill="1" applyAlignment="1" applyProtection="1">
      <alignment horizontal="right"/>
      <protection locked="0"/>
    </xf>
    <xf numFmtId="167" fontId="1" fillId="0" borderId="0" xfId="0" applyNumberFormat="1" applyFont="1" applyFill="1" applyBorder="1" applyProtection="1">
      <protection hidden="1"/>
    </xf>
    <xf numFmtId="167" fontId="3" fillId="0" borderId="3" xfId="0" applyNumberFormat="1" applyFont="1" applyFill="1" applyBorder="1" applyProtection="1">
      <protection hidden="1"/>
    </xf>
    <xf numFmtId="167" fontId="1" fillId="0" borderId="0" xfId="0" applyNumberFormat="1" applyFont="1" applyFill="1" applyBorder="1"/>
    <xf numFmtId="1" fontId="1" fillId="0" borderId="0" xfId="0" applyNumberFormat="1" applyFont="1" applyFill="1" applyAlignment="1" applyProtection="1">
      <alignment horizontal="right"/>
      <protection locked="0"/>
    </xf>
    <xf numFmtId="2" fontId="1" fillId="0" borderId="5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Protection="1">
      <protection hidden="1"/>
    </xf>
    <xf numFmtId="1" fontId="3" fillId="0" borderId="3" xfId="0" applyNumberFormat="1" applyFont="1" applyFill="1" applyBorder="1" applyAlignment="1" applyProtection="1">
      <alignment horizontal="right"/>
      <protection hidden="1"/>
    </xf>
    <xf numFmtId="0" fontId="1" fillId="6" borderId="0" xfId="0" applyFont="1" applyFill="1" applyProtection="1">
      <protection hidden="1"/>
    </xf>
    <xf numFmtId="2" fontId="3" fillId="6" borderId="0" xfId="0" applyNumberFormat="1" applyFont="1" applyFill="1" applyBorder="1" applyProtection="1">
      <protection hidden="1"/>
    </xf>
    <xf numFmtId="0" fontId="3" fillId="6" borderId="4" xfId="0" applyFont="1" applyFill="1" applyBorder="1"/>
    <xf numFmtId="167" fontId="1" fillId="6" borderId="0" xfId="0" applyNumberFormat="1" applyFont="1" applyFill="1" applyProtection="1">
      <protection hidden="1"/>
    </xf>
    <xf numFmtId="0" fontId="42" fillId="0" borderId="0" xfId="0" applyFont="1" applyFill="1" applyAlignment="1" applyProtection="1">
      <alignment horizontal="center"/>
      <protection hidden="1"/>
    </xf>
    <xf numFmtId="2" fontId="42" fillId="0" borderId="0" xfId="0" applyNumberFormat="1" applyFont="1" applyFill="1" applyAlignment="1" applyProtection="1">
      <alignment horizontal="center"/>
      <protection hidden="1"/>
    </xf>
    <xf numFmtId="167" fontId="1" fillId="0" borderId="0" xfId="0" applyNumberFormat="1" applyFont="1"/>
    <xf numFmtId="168" fontId="3" fillId="0" borderId="0" xfId="0" applyNumberFormat="1" applyFont="1" applyFill="1" applyProtection="1">
      <protection hidden="1"/>
    </xf>
    <xf numFmtId="167" fontId="1" fillId="6" borderId="0" xfId="0" applyNumberFormat="1" applyFont="1" applyFill="1"/>
    <xf numFmtId="167" fontId="3" fillId="6" borderId="3" xfId="0" applyNumberFormat="1" applyFont="1" applyFill="1" applyBorder="1" applyProtection="1">
      <protection hidden="1"/>
    </xf>
    <xf numFmtId="167" fontId="3" fillId="6" borderId="1" xfId="0" applyNumberFormat="1" applyFont="1" applyFill="1" applyBorder="1" applyProtection="1">
      <protection hidden="1"/>
    </xf>
    <xf numFmtId="167" fontId="21" fillId="3" borderId="1" xfId="0" applyNumberFormat="1" applyFont="1" applyFill="1" applyBorder="1" applyProtection="1">
      <protection hidden="1"/>
    </xf>
    <xf numFmtId="167" fontId="21" fillId="3" borderId="2" xfId="0" applyNumberFormat="1" applyFont="1" applyFill="1" applyBorder="1" applyProtection="1">
      <protection hidden="1"/>
    </xf>
    <xf numFmtId="0" fontId="10" fillId="0" borderId="0" xfId="0" applyFont="1" applyFill="1"/>
    <xf numFmtId="167" fontId="10" fillId="0" borderId="0" xfId="0" applyNumberFormat="1" applyFont="1" applyFill="1"/>
    <xf numFmtId="3" fontId="10" fillId="8" borderId="9" xfId="0" applyNumberFormat="1" applyFont="1" applyFill="1" applyBorder="1" applyProtection="1">
      <protection hidden="1"/>
    </xf>
    <xf numFmtId="3" fontId="8" fillId="8" borderId="9" xfId="0" applyNumberFormat="1" applyFont="1" applyFill="1" applyBorder="1" applyProtection="1">
      <protection hidden="1"/>
    </xf>
    <xf numFmtId="167" fontId="5" fillId="8" borderId="1" xfId="0" applyNumberFormat="1" applyFont="1" applyFill="1" applyBorder="1"/>
    <xf numFmtId="0" fontId="5" fillId="8" borderId="1" xfId="0" applyFont="1" applyFill="1" applyBorder="1"/>
    <xf numFmtId="0" fontId="5" fillId="8" borderId="2" xfId="0" applyFont="1" applyFill="1" applyBorder="1"/>
    <xf numFmtId="0" fontId="10" fillId="8" borderId="5" xfId="0" applyFont="1" applyFill="1" applyBorder="1" applyAlignment="1">
      <alignment horizontal="left"/>
    </xf>
    <xf numFmtId="0" fontId="13" fillId="8" borderId="3" xfId="0" applyFont="1" applyFill="1" applyBorder="1" applyAlignment="1">
      <alignment horizontal="left"/>
    </xf>
    <xf numFmtId="167" fontId="10" fillId="8" borderId="9" xfId="0" applyNumberFormat="1" applyFont="1" applyFill="1" applyBorder="1" applyProtection="1">
      <protection hidden="1"/>
    </xf>
    <xf numFmtId="167" fontId="10" fillId="8" borderId="6" xfId="0" applyNumberFormat="1" applyFont="1" applyFill="1" applyBorder="1" applyProtection="1">
      <protection hidden="1"/>
    </xf>
    <xf numFmtId="167" fontId="5" fillId="8" borderId="4" xfId="0" applyNumberFormat="1" applyFont="1" applyFill="1" applyBorder="1"/>
    <xf numFmtId="0" fontId="5" fillId="8" borderId="0" xfId="0" applyFont="1" applyFill="1" applyBorder="1"/>
    <xf numFmtId="0" fontId="5" fillId="8" borderId="10" xfId="0" applyFont="1" applyFill="1" applyBorder="1"/>
    <xf numFmtId="0" fontId="1" fillId="8" borderId="5" xfId="0" applyFont="1" applyFill="1" applyBorder="1" applyAlignment="1">
      <alignment horizontal="left"/>
    </xf>
    <xf numFmtId="167" fontId="8" fillId="2" borderId="5" xfId="0" applyNumberFormat="1" applyFont="1" applyFill="1" applyBorder="1" applyProtection="1">
      <protection locked="0"/>
    </xf>
    <xf numFmtId="167" fontId="42" fillId="3" borderId="0" xfId="0" applyNumberFormat="1" applyFont="1" applyFill="1"/>
    <xf numFmtId="0" fontId="12" fillId="6" borderId="0" xfId="0" applyFont="1" applyFill="1" applyProtection="1">
      <protection hidden="1"/>
    </xf>
    <xf numFmtId="14" fontId="1" fillId="6" borderId="0" xfId="0" applyNumberFormat="1" applyFont="1" applyFill="1" applyProtection="1">
      <protection hidden="1"/>
    </xf>
    <xf numFmtId="0" fontId="0" fillId="6" borderId="0" xfId="0" applyFill="1"/>
    <xf numFmtId="0" fontId="9" fillId="6" borderId="0" xfId="0" applyFont="1" applyFill="1" applyProtection="1">
      <protection hidden="1"/>
    </xf>
    <xf numFmtId="0" fontId="38" fillId="6" borderId="0" xfId="0" applyFont="1" applyFill="1" applyProtection="1">
      <protection hidden="1"/>
    </xf>
    <xf numFmtId="0" fontId="12" fillId="6" borderId="0" xfId="0" applyFont="1" applyFill="1"/>
    <xf numFmtId="0" fontId="22" fillId="6" borderId="0" xfId="0" applyFont="1" applyFill="1" applyProtection="1">
      <protection hidden="1"/>
    </xf>
    <xf numFmtId="0" fontId="34" fillId="6" borderId="0" xfId="0" applyFont="1" applyFill="1" applyProtection="1">
      <protection hidden="1"/>
    </xf>
    <xf numFmtId="0" fontId="35" fillId="6" borderId="0" xfId="0" applyFont="1" applyFill="1" applyProtection="1">
      <protection hidden="1"/>
    </xf>
    <xf numFmtId="0" fontId="2" fillId="6" borderId="0" xfId="0" applyFont="1" applyFill="1" applyProtection="1">
      <protection hidden="1"/>
    </xf>
    <xf numFmtId="0" fontId="24" fillId="6" borderId="0" xfId="0" applyFont="1" applyFill="1" applyProtection="1">
      <protection hidden="1"/>
    </xf>
    <xf numFmtId="0" fontId="12" fillId="6" borderId="0" xfId="0" applyFont="1" applyFill="1" applyBorder="1" applyProtection="1">
      <protection hidden="1"/>
    </xf>
    <xf numFmtId="0" fontId="26" fillId="6" borderId="0" xfId="0" applyFont="1" applyFill="1" applyProtection="1">
      <protection hidden="1"/>
    </xf>
    <xf numFmtId="0" fontId="26" fillId="6" borderId="0" xfId="0" applyFont="1" applyFill="1"/>
    <xf numFmtId="0" fontId="32" fillId="6" borderId="0" xfId="0" applyFont="1" applyFill="1"/>
    <xf numFmtId="3" fontId="36" fillId="3" borderId="0" xfId="0" applyNumberFormat="1" applyFont="1" applyFill="1" applyProtection="1">
      <protection hidden="1"/>
    </xf>
    <xf numFmtId="3" fontId="36" fillId="3" borderId="0" xfId="0" applyNumberFormat="1" applyFont="1" applyFill="1" applyBorder="1" applyAlignment="1" applyProtection="1">
      <alignment horizontal="right"/>
      <protection hidden="1"/>
    </xf>
    <xf numFmtId="0" fontId="36" fillId="3" borderId="0" xfId="0" applyFont="1" applyFill="1"/>
    <xf numFmtId="3" fontId="37" fillId="3" borderId="0" xfId="0" applyNumberFormat="1" applyFont="1" applyFill="1" applyBorder="1" applyAlignment="1" applyProtection="1">
      <alignment horizontal="right"/>
      <protection hidden="1"/>
    </xf>
    <xf numFmtId="167" fontId="36" fillId="3" borderId="0" xfId="0" applyNumberFormat="1" applyFont="1" applyFill="1"/>
    <xf numFmtId="2" fontId="1" fillId="3" borderId="4" xfId="0" applyNumberFormat="1" applyFont="1" applyFill="1" applyBorder="1"/>
    <xf numFmtId="0" fontId="3" fillId="6" borderId="0" xfId="0" applyFont="1" applyFill="1" applyProtection="1">
      <protection hidden="1"/>
    </xf>
    <xf numFmtId="0" fontId="1" fillId="6" borderId="0" xfId="0" applyFont="1" applyFill="1" applyAlignment="1" applyProtection="1">
      <alignment horizontal="left"/>
      <protection hidden="1"/>
    </xf>
    <xf numFmtId="0" fontId="1" fillId="6" borderId="0" xfId="0" applyFont="1" applyFill="1"/>
    <xf numFmtId="167" fontId="1" fillId="3" borderId="4" xfId="0" applyNumberFormat="1" applyFont="1" applyFill="1" applyBorder="1" applyProtection="1">
      <protection hidden="1"/>
    </xf>
    <xf numFmtId="3" fontId="15" fillId="3" borderId="0" xfId="0" applyNumberFormat="1" applyFont="1" applyFill="1" applyBorder="1"/>
    <xf numFmtId="3" fontId="3" fillId="0" borderId="0" xfId="0" applyNumberFormat="1" applyFont="1" applyFill="1"/>
    <xf numFmtId="3" fontId="10" fillId="3" borderId="0" xfId="0" applyNumberFormat="1" applyFont="1" applyFill="1"/>
    <xf numFmtId="3" fontId="0" fillId="5" borderId="0" xfId="0" applyNumberFormat="1" applyFill="1"/>
    <xf numFmtId="3" fontId="20" fillId="3" borderId="0" xfId="0" applyNumberFormat="1" applyFont="1" applyFill="1"/>
    <xf numFmtId="3" fontId="6" fillId="3" borderId="0" xfId="0" applyNumberFormat="1" applyFont="1" applyFill="1"/>
    <xf numFmtId="167" fontId="1" fillId="3" borderId="10" xfId="0" applyNumberFormat="1" applyFont="1" applyFill="1" applyBorder="1" applyProtection="1">
      <protection hidden="1"/>
    </xf>
    <xf numFmtId="0" fontId="1" fillId="8" borderId="4" xfId="0" applyFont="1" applyFill="1" applyBorder="1" applyAlignment="1">
      <alignment horizontal="left"/>
    </xf>
    <xf numFmtId="0" fontId="31" fillId="10" borderId="3" xfId="0" applyFont="1" applyFill="1" applyBorder="1" applyProtection="1">
      <protection hidden="1"/>
    </xf>
    <xf numFmtId="0" fontId="12" fillId="10" borderId="1" xfId="0" applyFont="1" applyFill="1" applyBorder="1" applyProtection="1">
      <protection hidden="1"/>
    </xf>
    <xf numFmtId="0" fontId="12" fillId="10" borderId="2" xfId="0" applyFont="1" applyFill="1" applyBorder="1" applyProtection="1">
      <protection hidden="1"/>
    </xf>
    <xf numFmtId="0" fontId="12" fillId="10" borderId="4" xfId="0" applyFont="1" applyFill="1" applyBorder="1" applyProtection="1">
      <protection hidden="1"/>
    </xf>
    <xf numFmtId="0" fontId="12" fillId="10" borderId="0" xfId="0" applyFont="1" applyFill="1" applyBorder="1" applyProtection="1">
      <protection hidden="1"/>
    </xf>
    <xf numFmtId="0" fontId="12" fillId="10" borderId="10" xfId="0" applyFont="1" applyFill="1" applyBorder="1" applyProtection="1">
      <protection hidden="1"/>
    </xf>
    <xf numFmtId="0" fontId="12" fillId="10" borderId="5" xfId="0" applyFont="1" applyFill="1" applyBorder="1" applyProtection="1">
      <protection hidden="1"/>
    </xf>
    <xf numFmtId="0" fontId="12" fillId="10" borderId="12" xfId="0" applyFont="1" applyFill="1" applyBorder="1" applyProtection="1">
      <protection hidden="1"/>
    </xf>
    <xf numFmtId="0" fontId="12" fillId="10" borderId="13" xfId="0" applyFont="1" applyFill="1" applyBorder="1" applyProtection="1">
      <protection hidden="1"/>
    </xf>
    <xf numFmtId="6" fontId="1" fillId="3" borderId="9" xfId="0" applyNumberFormat="1" applyFont="1" applyFill="1" applyBorder="1"/>
    <xf numFmtId="6" fontId="1" fillId="3" borderId="3" xfId="0" applyNumberFormat="1" applyFont="1" applyFill="1" applyBorder="1"/>
    <xf numFmtId="6" fontId="1" fillId="3" borderId="1" xfId="0" applyNumberFormat="1" applyFont="1" applyFill="1" applyBorder="1"/>
    <xf numFmtId="6" fontId="1" fillId="3" borderId="2" xfId="0" applyNumberFormat="1" applyFont="1" applyFill="1" applyBorder="1"/>
    <xf numFmtId="2" fontId="19" fillId="3" borderId="4" xfId="0" applyNumberFormat="1" applyFont="1" applyFill="1" applyBorder="1"/>
    <xf numFmtId="6" fontId="1" fillId="3" borderId="6" xfId="0" applyNumberFormat="1" applyFont="1" applyFill="1" applyBorder="1"/>
    <xf numFmtId="6" fontId="1" fillId="3" borderId="4" xfId="0" applyNumberFormat="1" applyFont="1" applyFill="1" applyBorder="1"/>
    <xf numFmtId="6" fontId="1" fillId="3" borderId="0" xfId="0" applyNumberFormat="1" applyFont="1" applyFill="1" applyBorder="1"/>
    <xf numFmtId="6" fontId="1" fillId="3" borderId="10" xfId="0" applyNumberFormat="1" applyFont="1" applyFill="1" applyBorder="1"/>
    <xf numFmtId="167" fontId="1" fillId="5" borderId="0" xfId="0" applyNumberFormat="1" applyFont="1" applyFill="1" applyBorder="1"/>
    <xf numFmtId="167" fontId="1" fillId="5" borderId="0" xfId="0" applyNumberFormat="1" applyFont="1" applyFill="1" applyProtection="1">
      <protection hidden="1"/>
    </xf>
    <xf numFmtId="167" fontId="1" fillId="5" borderId="0" xfId="0" applyNumberFormat="1" applyFont="1" applyFill="1" applyAlignment="1" applyProtection="1">
      <alignment horizontal="right"/>
      <protection locked="0"/>
    </xf>
    <xf numFmtId="1" fontId="1" fillId="5" borderId="0" xfId="0" applyNumberFormat="1" applyFont="1" applyFill="1" applyProtection="1">
      <protection hidden="1"/>
    </xf>
    <xf numFmtId="0" fontId="41" fillId="0" borderId="0" xfId="0" applyFont="1" applyFill="1" applyProtection="1">
      <protection hidden="1"/>
    </xf>
    <xf numFmtId="2" fontId="41" fillId="0" borderId="0" xfId="0" applyNumberFormat="1" applyFont="1" applyFill="1" applyAlignment="1" applyProtection="1">
      <alignment horizontal="right"/>
      <protection hidden="1"/>
    </xf>
    <xf numFmtId="2" fontId="41" fillId="0" borderId="0" xfId="0" applyNumberFormat="1" applyFont="1" applyFill="1" applyProtection="1">
      <protection hidden="1"/>
    </xf>
    <xf numFmtId="2" fontId="41" fillId="0" borderId="0" xfId="0" applyNumberFormat="1" applyFont="1" applyFill="1" applyBorder="1" applyAlignment="1" applyProtection="1">
      <alignment horizontal="right"/>
      <protection hidden="1"/>
    </xf>
    <xf numFmtId="0" fontId="41" fillId="0" borderId="0" xfId="0" applyFont="1" applyFill="1" applyBorder="1" applyAlignment="1" applyProtection="1">
      <alignment horizontal="right"/>
      <protection hidden="1"/>
    </xf>
    <xf numFmtId="0" fontId="39" fillId="0" borderId="0" xfId="0" applyFont="1" applyFill="1"/>
    <xf numFmtId="165" fontId="39" fillId="0" borderId="0" xfId="0" applyNumberFormat="1" applyFont="1" applyFill="1"/>
    <xf numFmtId="167" fontId="3" fillId="0" borderId="0" xfId="0" applyNumberFormat="1" applyFont="1" applyFill="1" applyAlignment="1" applyProtection="1">
      <alignment horizontal="center"/>
      <protection hidden="1"/>
    </xf>
    <xf numFmtId="167" fontId="3" fillId="0" borderId="0" xfId="0" applyNumberFormat="1" applyFont="1" applyFill="1" applyAlignment="1" applyProtection="1">
      <alignment horizontal="center"/>
      <protection locked="0"/>
    </xf>
    <xf numFmtId="167" fontId="3" fillId="0" borderId="0" xfId="1" applyNumberFormat="1" applyFont="1" applyFill="1" applyAlignment="1" applyProtection="1">
      <alignment horizontal="center"/>
      <protection hidden="1"/>
    </xf>
    <xf numFmtId="167" fontId="3" fillId="0" borderId="0" xfId="0" applyNumberFormat="1" applyFont="1" applyFill="1" applyBorder="1" applyAlignment="1" applyProtection="1">
      <alignment horizontal="center"/>
      <protection hidden="1"/>
    </xf>
    <xf numFmtId="0" fontId="1" fillId="5" borderId="0" xfId="0" applyFont="1" applyFill="1"/>
    <xf numFmtId="0" fontId="8" fillId="5" borderId="0" xfId="0" applyFont="1" applyFill="1" applyAlignment="1" applyProtection="1">
      <alignment horizontal="right"/>
      <protection hidden="1"/>
    </xf>
    <xf numFmtId="0" fontId="5" fillId="0" borderId="0" xfId="0" applyFont="1" applyAlignment="1">
      <alignment horizontal="left"/>
    </xf>
    <xf numFmtId="3" fontId="3" fillId="9" borderId="3" xfId="0" applyNumberFormat="1" applyFont="1" applyFill="1" applyBorder="1"/>
    <xf numFmtId="0" fontId="40" fillId="3" borderId="0" xfId="0" applyFont="1" applyFill="1" applyProtection="1">
      <protection hidden="1"/>
    </xf>
  </cellXfs>
  <cellStyles count="4">
    <cellStyle name="Euro" xfId="2" xr:uid="{00000000-0005-0000-0000-000000000000}"/>
    <cellStyle name="Normaali" xfId="0" builtinId="0"/>
    <cellStyle name="Normaali 2" xfId="3" xr:uid="{00000000-0005-0000-0000-000002000000}"/>
    <cellStyle name="Pilkku" xfId="1" builtinId="3"/>
  </cellStyles>
  <dxfs count="0"/>
  <tableStyles count="0" defaultTableStyle="TableStyleMedium9" defaultPivotStyle="PivotStyleLight16"/>
  <colors>
    <mruColors>
      <color rgb="FF99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i-FI"/>
              <a:t>Vuosikate, poistot ja nettoinvestoinnit, €/asukas</a:t>
            </a:r>
          </a:p>
        </c:rich>
      </c:tx>
      <c:layout>
        <c:manualLayout>
          <c:xMode val="edge"/>
          <c:yMode val="edge"/>
          <c:x val="0.29124036907215517"/>
          <c:y val="3.19149350624052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571173042845471E-2"/>
          <c:y val="0.25797905842110713"/>
          <c:w val="0.92150273026735685"/>
          <c:h val="0.6250008116387784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KEHIKKO!$A$87</c:f>
              <c:strCache>
                <c:ptCount val="1"/>
                <c:pt idx="0">
                  <c:v>Vuosikate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_ ;[Red]\-#,##0\ " sourceLinked="0"/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KEHIKKO!$B$86:$L$86</c:f>
              <c:strCache>
                <c:ptCount val="11"/>
                <c:pt idx="0">
                  <c:v>TP 2023</c:v>
                </c:pt>
                <c:pt idx="1">
                  <c:v>TP 2024</c:v>
                </c:pt>
                <c:pt idx="2">
                  <c:v>2 025</c:v>
                </c:pt>
                <c:pt idx="3">
                  <c:v>2 026</c:v>
                </c:pt>
                <c:pt idx="4">
                  <c:v>2 027</c:v>
                </c:pt>
                <c:pt idx="5">
                  <c:v>2 028</c:v>
                </c:pt>
                <c:pt idx="6">
                  <c:v>2 029</c:v>
                </c:pt>
                <c:pt idx="7">
                  <c:v>2 030</c:v>
                </c:pt>
                <c:pt idx="8">
                  <c:v>2 031</c:v>
                </c:pt>
                <c:pt idx="9">
                  <c:v>2 032</c:v>
                </c:pt>
                <c:pt idx="10">
                  <c:v>2 033</c:v>
                </c:pt>
              </c:strCache>
            </c:strRef>
          </c:cat>
          <c:val>
            <c:numRef>
              <c:f>KEHIKKO!$B$87:$L$87</c:f>
              <c:numCache>
                <c:formatCode>#,##0</c:formatCode>
                <c:ptCount val="11"/>
                <c:pt idx="0">
                  <c:v>759.65661943261705</c:v>
                </c:pt>
                <c:pt idx="1">
                  <c:v>582.03737294072687</c:v>
                </c:pt>
                <c:pt idx="2">
                  <c:v>507.25354481400018</c:v>
                </c:pt>
                <c:pt idx="3">
                  <c:v>546.57688604032637</c:v>
                </c:pt>
                <c:pt idx="4">
                  <c:v>571.05626719618067</c:v>
                </c:pt>
                <c:pt idx="5">
                  <c:v>664.34080180029662</c:v>
                </c:pt>
                <c:pt idx="6">
                  <c:v>723.03937264300987</c:v>
                </c:pt>
                <c:pt idx="7">
                  <c:v>735.57558076925238</c:v>
                </c:pt>
                <c:pt idx="8">
                  <c:v>748.81813170557621</c:v>
                </c:pt>
                <c:pt idx="9">
                  <c:v>762.78423176572119</c:v>
                </c:pt>
                <c:pt idx="10">
                  <c:v>777.49619564946636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F9-41DE-AB8F-C15F2DC98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8169984"/>
        <c:axId val="228176256"/>
      </c:barChart>
      <c:lineChart>
        <c:grouping val="standard"/>
        <c:varyColors val="0"/>
        <c:ser>
          <c:idx val="0"/>
          <c:order val="1"/>
          <c:tx>
            <c:strRef>
              <c:f>KEHIKKO!$A$88</c:f>
              <c:strCache>
                <c:ptCount val="1"/>
                <c:pt idx="0">
                  <c:v>Poistot ja arvonalent.</c:v>
                </c:pt>
              </c:strCache>
            </c:strRef>
          </c:tx>
          <c:spPr>
            <a:ln w="25400">
              <a:solidFill>
                <a:schemeClr val="tx1">
                  <a:lumMod val="95000"/>
                  <a:lumOff val="5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KEHIKKO!$B$86:$L$86</c:f>
              <c:strCache>
                <c:ptCount val="11"/>
                <c:pt idx="0">
                  <c:v>TP 2023</c:v>
                </c:pt>
                <c:pt idx="1">
                  <c:v>TP 2024</c:v>
                </c:pt>
                <c:pt idx="2">
                  <c:v>2 025</c:v>
                </c:pt>
                <c:pt idx="3">
                  <c:v>2 026</c:v>
                </c:pt>
                <c:pt idx="4">
                  <c:v>2 027</c:v>
                </c:pt>
                <c:pt idx="5">
                  <c:v>2 028</c:v>
                </c:pt>
                <c:pt idx="6">
                  <c:v>2 029</c:v>
                </c:pt>
                <c:pt idx="7">
                  <c:v>2 030</c:v>
                </c:pt>
                <c:pt idx="8">
                  <c:v>2 031</c:v>
                </c:pt>
                <c:pt idx="9">
                  <c:v>2 032</c:v>
                </c:pt>
                <c:pt idx="10">
                  <c:v>2 033</c:v>
                </c:pt>
              </c:strCache>
            </c:strRef>
          </c:cat>
          <c:val>
            <c:numRef>
              <c:f>KEHIKKO!$B$88:$L$88</c:f>
              <c:numCache>
                <c:formatCode>#,##0</c:formatCode>
                <c:ptCount val="11"/>
                <c:pt idx="0">
                  <c:v>447.67197974453245</c:v>
                </c:pt>
                <c:pt idx="1">
                  <c:v>459.00978553398488</c:v>
                </c:pt>
                <c:pt idx="2">
                  <c:v>458.89480293135239</c:v>
                </c:pt>
                <c:pt idx="3">
                  <c:v>459.20329061127865</c:v>
                </c:pt>
                <c:pt idx="4">
                  <c:v>459.54387005752142</c:v>
                </c:pt>
                <c:pt idx="5">
                  <c:v>459.91648921432551</c:v>
                </c:pt>
                <c:pt idx="6">
                  <c:v>460.32521372278137</c:v>
                </c:pt>
                <c:pt idx="7">
                  <c:v>460.77064563919191</c:v>
                </c:pt>
                <c:pt idx="8">
                  <c:v>461.25749153389415</c:v>
                </c:pt>
                <c:pt idx="9">
                  <c:v>461.78636100398057</c:v>
                </c:pt>
                <c:pt idx="10">
                  <c:v>462.35351233581326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F9-41DE-AB8F-C15F2DC98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169984"/>
        <c:axId val="228176256"/>
      </c:lineChart>
      <c:lineChart>
        <c:grouping val="standard"/>
        <c:varyColors val="0"/>
        <c:ser>
          <c:idx val="2"/>
          <c:order val="2"/>
          <c:tx>
            <c:strRef>
              <c:f>KEHIKKO!$A$89</c:f>
              <c:strCache>
                <c:ptCount val="1"/>
                <c:pt idx="0">
                  <c:v>Nettoinvestoinnit</c:v>
                </c:pt>
              </c:strCache>
            </c:strRef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C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KEHIKKO!$B$86:$L$86</c:f>
              <c:strCache>
                <c:ptCount val="11"/>
                <c:pt idx="0">
                  <c:v>TP 2023</c:v>
                </c:pt>
                <c:pt idx="1">
                  <c:v>TP 2024</c:v>
                </c:pt>
                <c:pt idx="2">
                  <c:v>2 025</c:v>
                </c:pt>
                <c:pt idx="3">
                  <c:v>2 026</c:v>
                </c:pt>
                <c:pt idx="4">
                  <c:v>2 027</c:v>
                </c:pt>
                <c:pt idx="5">
                  <c:v>2 028</c:v>
                </c:pt>
                <c:pt idx="6">
                  <c:v>2 029</c:v>
                </c:pt>
                <c:pt idx="7">
                  <c:v>2 030</c:v>
                </c:pt>
                <c:pt idx="8">
                  <c:v>2 031</c:v>
                </c:pt>
                <c:pt idx="9">
                  <c:v>2 032</c:v>
                </c:pt>
                <c:pt idx="10">
                  <c:v>2 033</c:v>
                </c:pt>
              </c:strCache>
            </c:strRef>
          </c:cat>
          <c:val>
            <c:numRef>
              <c:f>KEHIKKO!$B$89:$L$89</c:f>
              <c:numCache>
                <c:formatCode>#,##0</c:formatCode>
                <c:ptCount val="11"/>
                <c:pt idx="0">
                  <c:v>661.8005600119144</c:v>
                </c:pt>
                <c:pt idx="1">
                  <c:v>643.10244332122488</c:v>
                </c:pt>
                <c:pt idx="2">
                  <c:v>647.16324037865991</c:v>
                </c:pt>
                <c:pt idx="3">
                  <c:v>640.68208096260787</c:v>
                </c:pt>
                <c:pt idx="4">
                  <c:v>639.80675819766975</c:v>
                </c:pt>
                <c:pt idx="5">
                  <c:v>636.22400864651104</c:v>
                </c:pt>
                <c:pt idx="6">
                  <c:v>634.07735400602382</c:v>
                </c:pt>
                <c:pt idx="7">
                  <c:v>631.30614306864061</c:v>
                </c:pt>
                <c:pt idx="8">
                  <c:v>628.94213803742571</c:v>
                </c:pt>
                <c:pt idx="9">
                  <c:v>626.47428141226601</c:v>
                </c:pt>
                <c:pt idx="10">
                  <c:v>624.15114467377703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F9-41DE-AB8F-C15F2DC98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177792"/>
        <c:axId val="228179328"/>
      </c:lineChart>
      <c:catAx>
        <c:axId val="22816998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i-FI"/>
          </a:p>
        </c:txPr>
        <c:crossAx val="228176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81762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_ ;[Red]\-#,##0\ " sourceLinked="0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i-FI"/>
          </a:p>
        </c:txPr>
        <c:crossAx val="228169984"/>
        <c:crosses val="autoZero"/>
        <c:crossBetween val="between"/>
      </c:valAx>
      <c:catAx>
        <c:axId val="228177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28179328"/>
        <c:crosses val="autoZero"/>
        <c:auto val="0"/>
        <c:lblAlgn val="ctr"/>
        <c:lblOffset val="100"/>
        <c:noMultiLvlLbl val="0"/>
      </c:catAx>
      <c:valAx>
        <c:axId val="22817932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2281777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28100144984696057"/>
          <c:y val="0.13829805193708974"/>
          <c:w val="0.48464217665913045"/>
          <c:h val="6.117029220294348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fi-FI"/>
    </a:p>
  </c:txPr>
  <c:printSettings>
    <c:headerFooter alignWithMargins="0"/>
    <c:pageMargins b="1" l="0.75000000000000311" r="0.75000000000000311" t="1" header="0.4921259845000015" footer="0.492125984500001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fi-FI" sz="1200"/>
              <a:t>Rahavarat ja lainakanta, €/asukas</a:t>
            </a:r>
          </a:p>
        </c:rich>
      </c:tx>
      <c:layout>
        <c:manualLayout>
          <c:xMode val="edge"/>
          <c:yMode val="edge"/>
          <c:x val="0.35307517084282664"/>
          <c:y val="3.38028633952236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004555808656066E-2"/>
          <c:y val="0.21126789622014774"/>
          <c:w val="0.86560364464692485"/>
          <c:h val="0.690141794319152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KEHIKKO!$A$117</c:f>
              <c:strCache>
                <c:ptCount val="1"/>
                <c:pt idx="0">
                  <c:v>Rahavarat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KEHIKKO!$B$116:$L$116</c:f>
              <c:strCache>
                <c:ptCount val="11"/>
                <c:pt idx="0">
                  <c:v>TP 2023</c:v>
                </c:pt>
                <c:pt idx="1">
                  <c:v>TP 2024</c:v>
                </c:pt>
                <c:pt idx="2">
                  <c:v>2 025</c:v>
                </c:pt>
                <c:pt idx="3">
                  <c:v>2 026</c:v>
                </c:pt>
                <c:pt idx="4">
                  <c:v>2 027</c:v>
                </c:pt>
                <c:pt idx="5">
                  <c:v>2 028</c:v>
                </c:pt>
                <c:pt idx="6">
                  <c:v>2 029</c:v>
                </c:pt>
                <c:pt idx="7">
                  <c:v>2 030</c:v>
                </c:pt>
                <c:pt idx="8">
                  <c:v>2 031</c:v>
                </c:pt>
                <c:pt idx="9">
                  <c:v>2 032</c:v>
                </c:pt>
                <c:pt idx="10">
                  <c:v>2 033</c:v>
                </c:pt>
              </c:strCache>
            </c:strRef>
          </c:cat>
          <c:val>
            <c:numRef>
              <c:f>KEHIKKO!$B$117:$L$117</c:f>
              <c:numCache>
                <c:formatCode>#,##0</c:formatCode>
                <c:ptCount val="11"/>
                <c:pt idx="0">
                  <c:v>1089.6799273860593</c:v>
                </c:pt>
                <c:pt idx="1">
                  <c:v>1041.2008579532603</c:v>
                </c:pt>
                <c:pt idx="2">
                  <c:v>978.8691360300171</c:v>
                </c:pt>
                <c:pt idx="3">
                  <c:v>921.49374926483313</c:v>
                </c:pt>
                <c:pt idx="4">
                  <c:v>866.64029811723071</c:v>
                </c:pt>
                <c:pt idx="5">
                  <c:v>821.72776738574964</c:v>
                </c:pt>
                <c:pt idx="6">
                  <c:v>784.19523596859483</c:v>
                </c:pt>
                <c:pt idx="7">
                  <c:v>750.1143780363002</c:v>
                </c:pt>
                <c:pt idx="8">
                  <c:v>719.64301502865317</c:v>
                </c:pt>
                <c:pt idx="9">
                  <c:v>692.98604923121013</c:v>
                </c:pt>
                <c:pt idx="10">
                  <c:v>670.32698687644881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E4-4DB0-8EEC-C9287D970E1A}"/>
            </c:ext>
          </c:extLst>
        </c:ser>
        <c:ser>
          <c:idx val="1"/>
          <c:order val="1"/>
          <c:tx>
            <c:strRef>
              <c:f>KEHIKKO!$A$118</c:f>
              <c:strCache>
                <c:ptCount val="1"/>
                <c:pt idx="0">
                  <c:v>Lainakanta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KEHIKKO!$B$116:$L$116</c:f>
              <c:strCache>
                <c:ptCount val="11"/>
                <c:pt idx="0">
                  <c:v>TP 2023</c:v>
                </c:pt>
                <c:pt idx="1">
                  <c:v>TP 2024</c:v>
                </c:pt>
                <c:pt idx="2">
                  <c:v>2 025</c:v>
                </c:pt>
                <c:pt idx="3">
                  <c:v>2 026</c:v>
                </c:pt>
                <c:pt idx="4">
                  <c:v>2 027</c:v>
                </c:pt>
                <c:pt idx="5">
                  <c:v>2 028</c:v>
                </c:pt>
                <c:pt idx="6">
                  <c:v>2 029</c:v>
                </c:pt>
                <c:pt idx="7">
                  <c:v>2 030</c:v>
                </c:pt>
                <c:pt idx="8">
                  <c:v>2 031</c:v>
                </c:pt>
                <c:pt idx="9">
                  <c:v>2 032</c:v>
                </c:pt>
                <c:pt idx="10">
                  <c:v>2 033</c:v>
                </c:pt>
              </c:strCache>
            </c:strRef>
          </c:cat>
          <c:val>
            <c:numRef>
              <c:f>KEHIKKO!$B$118:$L$118</c:f>
              <c:numCache>
                <c:formatCode>#,##0</c:formatCode>
                <c:ptCount val="11"/>
                <c:pt idx="0">
                  <c:v>3367.6018872142417</c:v>
                </c:pt>
                <c:pt idx="1">
                  <c:v>3450.1146223219866</c:v>
                </c:pt>
                <c:pt idx="2">
                  <c:v>3515.1075162239226</c:v>
                </c:pt>
                <c:pt idx="3">
                  <c:v>3540.9157027899059</c:v>
                </c:pt>
                <c:pt idx="4">
                  <c:v>3543.713886056195</c:v>
                </c:pt>
                <c:pt idx="5">
                  <c:v>3459.5256821559883</c:v>
                </c:pt>
                <c:pt idx="6">
                  <c:v>3322.2402889642381</c:v>
                </c:pt>
                <c:pt idx="7">
                  <c:v>3173.7066144605265</c:v>
                </c:pt>
                <c:pt idx="8">
                  <c:v>3013.849589518064</c:v>
                </c:pt>
                <c:pt idx="9">
                  <c:v>2842.0861188960648</c:v>
                </c:pt>
                <c:pt idx="10">
                  <c:v>2658.0162901958006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E4-4DB0-8EEC-C9287D970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0329344"/>
        <c:axId val="230331136"/>
      </c:barChart>
      <c:lineChart>
        <c:grouping val="standard"/>
        <c:varyColors val="0"/>
        <c:ser>
          <c:idx val="2"/>
          <c:order val="2"/>
          <c:tx>
            <c:strRef>
              <c:f>KEHIKKO!$A$119</c:f>
              <c:strCache>
                <c:ptCount val="1"/>
                <c:pt idx="0">
                  <c:v>Nettovelka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ys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KEHIKKO!$B$116:$L$116</c:f>
              <c:strCache>
                <c:ptCount val="11"/>
                <c:pt idx="0">
                  <c:v>TP 2023</c:v>
                </c:pt>
                <c:pt idx="1">
                  <c:v>TP 2024</c:v>
                </c:pt>
                <c:pt idx="2">
                  <c:v>2 025</c:v>
                </c:pt>
                <c:pt idx="3">
                  <c:v>2 026</c:v>
                </c:pt>
                <c:pt idx="4">
                  <c:v>2 027</c:v>
                </c:pt>
                <c:pt idx="5">
                  <c:v>2 028</c:v>
                </c:pt>
                <c:pt idx="6">
                  <c:v>2 029</c:v>
                </c:pt>
                <c:pt idx="7">
                  <c:v>2 030</c:v>
                </c:pt>
                <c:pt idx="8">
                  <c:v>2 031</c:v>
                </c:pt>
                <c:pt idx="9">
                  <c:v>2 032</c:v>
                </c:pt>
                <c:pt idx="10">
                  <c:v>2 033</c:v>
                </c:pt>
              </c:strCache>
            </c:strRef>
          </c:cat>
          <c:val>
            <c:numRef>
              <c:f>KEHIKKO!$B$119:$L$119</c:f>
              <c:numCache>
                <c:formatCode>#,##0</c:formatCode>
                <c:ptCount val="11"/>
                <c:pt idx="0">
                  <c:v>2277.9219598281825</c:v>
                </c:pt>
                <c:pt idx="1">
                  <c:v>2408.9137643687263</c:v>
                </c:pt>
                <c:pt idx="2">
                  <c:v>2536.2383801939054</c:v>
                </c:pt>
                <c:pt idx="3">
                  <c:v>2619.4219535250727</c:v>
                </c:pt>
                <c:pt idx="4">
                  <c:v>2677.073587938964</c:v>
                </c:pt>
                <c:pt idx="5">
                  <c:v>2637.7979147702385</c:v>
                </c:pt>
                <c:pt idx="6">
                  <c:v>2538.0450529956433</c:v>
                </c:pt>
                <c:pt idx="7">
                  <c:v>2423.592236424226</c:v>
                </c:pt>
                <c:pt idx="8">
                  <c:v>2294.2065744894107</c:v>
                </c:pt>
                <c:pt idx="9">
                  <c:v>2149.1000696648548</c:v>
                </c:pt>
                <c:pt idx="10">
                  <c:v>1987.6893033193519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E4-4DB0-8EEC-C9287D970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329344"/>
        <c:axId val="230331136"/>
      </c:lineChart>
      <c:catAx>
        <c:axId val="23032934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i-FI"/>
          </a:p>
        </c:txPr>
        <c:crossAx val="230331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0331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;[Red]\-#,##0\ " sourceLinked="0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i-FI"/>
          </a:p>
        </c:txPr>
        <c:crossAx val="2303293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2209567198178048"/>
          <c:y val="4.7887389809900531E-2"/>
          <c:w val="0.15148063781321194"/>
          <c:h val="0.1464790747126359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1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fi-FI"/>
    </a:p>
  </c:txPr>
  <c:printSettings>
    <c:headerFooter alignWithMargins="0"/>
    <c:pageMargins b="1" l="0.75000000000000311" r="0.75000000000000311" t="1" header="0.4921259845000015" footer="0.492125984500001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Tlikauden yli-/alijäämä ja taseen kertynyt yli-/alijäämä, €/asukas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KEHIKKO!$A$147</c:f>
              <c:strCache>
                <c:ptCount val="1"/>
                <c:pt idx="0">
                  <c:v>Tlikauden yli-/alijäämä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KEHIKKO!$B$146:$M$146</c:f>
              <c:strCache>
                <c:ptCount val="12"/>
                <c:pt idx="0">
                  <c:v>TP 2023</c:v>
                </c:pt>
                <c:pt idx="1">
                  <c:v>TP 2024</c:v>
                </c:pt>
                <c:pt idx="2">
                  <c:v>2 025</c:v>
                </c:pt>
                <c:pt idx="3">
                  <c:v>2 026</c:v>
                </c:pt>
                <c:pt idx="4">
                  <c:v>2 027</c:v>
                </c:pt>
                <c:pt idx="5">
                  <c:v>2 028</c:v>
                </c:pt>
                <c:pt idx="6">
                  <c:v>2 029</c:v>
                </c:pt>
                <c:pt idx="7">
                  <c:v>2 030</c:v>
                </c:pt>
                <c:pt idx="8">
                  <c:v>2 031</c:v>
                </c:pt>
                <c:pt idx="9">
                  <c:v>2 032</c:v>
                </c:pt>
                <c:pt idx="10">
                  <c:v>2 033</c:v>
                </c:pt>
                <c:pt idx="11">
                  <c:v>2 034</c:v>
                </c:pt>
              </c:strCache>
            </c:strRef>
          </c:cat>
          <c:val>
            <c:numRef>
              <c:f>KEHIKKO!$B$147:$M$147</c:f>
              <c:numCache>
                <c:formatCode>#\ ##0_ ;[Red]\-#\ ##0\ </c:formatCode>
                <c:ptCount val="12"/>
                <c:pt idx="0">
                  <c:v>285.4911251518397</c:v>
                </c:pt>
                <c:pt idx="1">
                  <c:v>179.7412741830658</c:v>
                </c:pt>
                <c:pt idx="2">
                  <c:v>55.919614412216902</c:v>
                </c:pt>
                <c:pt idx="3">
                  <c:v>94.901909115050884</c:v>
                </c:pt>
                <c:pt idx="4">
                  <c:v>119.00881230833706</c:v>
                </c:pt>
                <c:pt idx="5">
                  <c:v>211.88948035259014</c:v>
                </c:pt>
                <c:pt idx="6">
                  <c:v>270.14878778395649</c:v>
                </c:pt>
                <c:pt idx="7">
                  <c:v>282.20973408891973</c:v>
                </c:pt>
                <c:pt idx="8">
                  <c:v>294.93638425050756</c:v>
                </c:pt>
                <c:pt idx="9">
                  <c:v>308.34533441661665</c:v>
                </c:pt>
                <c:pt idx="10">
                  <c:v>322.4625714491911</c:v>
                </c:pt>
                <c:pt idx="11">
                  <c:v>337.31408300543137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4C-4A65-AA50-E4178B5E5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8466560"/>
        <c:axId val="608473776"/>
      </c:barChart>
      <c:lineChart>
        <c:grouping val="standard"/>
        <c:varyColors val="0"/>
        <c:ser>
          <c:idx val="1"/>
          <c:order val="1"/>
          <c:tx>
            <c:strRef>
              <c:f>KEHIKKO!$A$148</c:f>
              <c:strCache>
                <c:ptCount val="1"/>
                <c:pt idx="0">
                  <c:v>Taseen kertynyt yli-/alijäämä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KEHIKKO!$B$146:$M$146</c:f>
              <c:strCache>
                <c:ptCount val="12"/>
                <c:pt idx="0">
                  <c:v>TP 2023</c:v>
                </c:pt>
                <c:pt idx="1">
                  <c:v>TP 2024</c:v>
                </c:pt>
                <c:pt idx="2">
                  <c:v>2 025</c:v>
                </c:pt>
                <c:pt idx="3">
                  <c:v>2 026</c:v>
                </c:pt>
                <c:pt idx="4">
                  <c:v>2 027</c:v>
                </c:pt>
                <c:pt idx="5">
                  <c:v>2 028</c:v>
                </c:pt>
                <c:pt idx="6">
                  <c:v>2 029</c:v>
                </c:pt>
                <c:pt idx="7">
                  <c:v>2 030</c:v>
                </c:pt>
                <c:pt idx="8">
                  <c:v>2 031</c:v>
                </c:pt>
                <c:pt idx="9">
                  <c:v>2 032</c:v>
                </c:pt>
                <c:pt idx="10">
                  <c:v>2 033</c:v>
                </c:pt>
                <c:pt idx="11">
                  <c:v>2 034</c:v>
                </c:pt>
              </c:strCache>
            </c:strRef>
          </c:cat>
          <c:val>
            <c:numRef>
              <c:f>KEHIKKO!$B$148:$M$148</c:f>
              <c:numCache>
                <c:formatCode>#\ ##0_ ;[Red]\-#\ ##0\ </c:formatCode>
                <c:ptCount val="12"/>
                <c:pt idx="0">
                  <c:v>2973.9599146019132</c:v>
                </c:pt>
                <c:pt idx="1">
                  <c:v>3138.4750358811089</c:v>
                </c:pt>
                <c:pt idx="2">
                  <c:v>3177.9980655873201</c:v>
                </c:pt>
                <c:pt idx="3">
                  <c:v>3259.21478936621</c:v>
                </c:pt>
                <c:pt idx="4">
                  <c:v>3364.4138535021798</c:v>
                </c:pt>
                <c:pt idx="5">
                  <c:v>3562.2794046355748</c:v>
                </c:pt>
                <c:pt idx="6">
                  <c:v>3817.855431537238</c:v>
                </c:pt>
                <c:pt idx="7">
                  <c:v>4084.7468133032085</c:v>
                </c:pt>
                <c:pt idx="8">
                  <c:v>4363.6555066888777</c:v>
                </c:pt>
                <c:pt idx="9">
                  <c:v>4655.2695084589332</c:v>
                </c:pt>
                <c:pt idx="10">
                  <c:v>4960.2605440987872</c:v>
                </c:pt>
                <c:pt idx="11">
                  <c:v>5279.3953663712382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4C-4A65-AA50-E4178B5E5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466560"/>
        <c:axId val="608473776"/>
      </c:lineChart>
      <c:catAx>
        <c:axId val="608466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608473776"/>
        <c:crosses val="autoZero"/>
        <c:auto val="1"/>
        <c:lblAlgn val="ctr"/>
        <c:lblOffset val="100"/>
        <c:noMultiLvlLbl val="0"/>
      </c:catAx>
      <c:valAx>
        <c:axId val="608473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\ ##0_ ;[Red]\-#\ 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608466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fi-FI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15" dropStyle="combo" dx="15" fmlaLink="$A$5" fmlaRange="pohjatiedot!$B$3:$B$296" sel="95" val="87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81</xdr:row>
      <xdr:rowOff>9525</xdr:rowOff>
    </xdr:from>
    <xdr:to>
      <xdr:col>12</xdr:col>
      <xdr:colOff>142875</xdr:colOff>
      <xdr:row>106</xdr:row>
      <xdr:rowOff>9525</xdr:rowOff>
    </xdr:to>
    <xdr:graphicFrame macro="">
      <xdr:nvGraphicFramePr>
        <xdr:cNvPr id="1026" name="Chart 2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106</xdr:row>
      <xdr:rowOff>19050</xdr:rowOff>
    </xdr:from>
    <xdr:to>
      <xdr:col>12</xdr:col>
      <xdr:colOff>123825</xdr:colOff>
      <xdr:row>129</xdr:row>
      <xdr:rowOff>114300</xdr:rowOff>
    </xdr:to>
    <xdr:graphicFrame macro="">
      <xdr:nvGraphicFramePr>
        <xdr:cNvPr id="1027" name="Chart 3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30</xdr:col>
      <xdr:colOff>352425</xdr:colOff>
      <xdr:row>57</xdr:row>
      <xdr:rowOff>0</xdr:rowOff>
    </xdr:from>
    <xdr:to>
      <xdr:col>30</xdr:col>
      <xdr:colOff>352425</xdr:colOff>
      <xdr:row>65</xdr:row>
      <xdr:rowOff>47625</xdr:rowOff>
    </xdr:to>
    <xdr:cxnSp macro="">
      <xdr:nvCxnSpPr>
        <xdr:cNvPr id="1052" name="AutoShape 28">
          <a:extLst>
            <a:ext uri="{FF2B5EF4-FFF2-40B4-BE49-F238E27FC236}">
              <a16:creationId xmlns:a16="http://schemas.microsoft.com/office/drawing/2014/main" id="{00000000-0008-0000-0100-00001C040000}"/>
            </a:ext>
          </a:extLst>
        </xdr:cNvPr>
        <xdr:cNvCxnSpPr>
          <a:cxnSpLocks noChangeShapeType="1"/>
        </xdr:cNvCxnSpPr>
      </xdr:nvCxnSpPr>
      <xdr:spPr bwMode="auto">
        <a:xfrm>
          <a:off x="18954750" y="8086725"/>
          <a:ext cx="0" cy="1190625"/>
        </a:xfrm>
        <a:prstGeom prst="straightConnector1">
          <a:avLst/>
        </a:prstGeom>
        <a:noFill/>
        <a:ln w="38100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31</xdr:col>
      <xdr:colOff>352425</xdr:colOff>
      <xdr:row>57</xdr:row>
      <xdr:rowOff>0</xdr:rowOff>
    </xdr:from>
    <xdr:to>
      <xdr:col>31</xdr:col>
      <xdr:colOff>352425</xdr:colOff>
      <xdr:row>65</xdr:row>
      <xdr:rowOff>47625</xdr:rowOff>
    </xdr:to>
    <xdr:cxnSp macro="">
      <xdr:nvCxnSpPr>
        <xdr:cNvPr id="1053" name="AutoShape 29">
          <a:extLst>
            <a:ext uri="{FF2B5EF4-FFF2-40B4-BE49-F238E27FC236}">
              <a16:creationId xmlns:a16="http://schemas.microsoft.com/office/drawing/2014/main" id="{00000000-0008-0000-0100-00001D040000}"/>
            </a:ext>
          </a:extLst>
        </xdr:cNvPr>
        <xdr:cNvCxnSpPr>
          <a:cxnSpLocks noChangeShapeType="1"/>
        </xdr:cNvCxnSpPr>
      </xdr:nvCxnSpPr>
      <xdr:spPr bwMode="auto">
        <a:xfrm>
          <a:off x="19488150" y="8086725"/>
          <a:ext cx="0" cy="1190625"/>
        </a:xfrm>
        <a:prstGeom prst="straightConnector1">
          <a:avLst/>
        </a:prstGeom>
        <a:noFill/>
        <a:ln w="38100">
          <a:solidFill>
            <a:srgbClr val="000000"/>
          </a:solidFill>
          <a:round/>
          <a:headEnd/>
          <a:tailEnd/>
        </a:ln>
      </xdr:spPr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1</xdr:row>
          <xdr:rowOff>57150</xdr:rowOff>
        </xdr:from>
        <xdr:to>
          <xdr:col>8</xdr:col>
          <xdr:colOff>561975</xdr:colOff>
          <xdr:row>2</xdr:row>
          <xdr:rowOff>66675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0</xdr:col>
      <xdr:colOff>676274</xdr:colOff>
      <xdr:row>130</xdr:row>
      <xdr:rowOff>4762</xdr:rowOff>
    </xdr:from>
    <xdr:to>
      <xdr:col>12</xdr:col>
      <xdr:colOff>123824</xdr:colOff>
      <xdr:row>154</xdr:row>
      <xdr:rowOff>133350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0.81735</cdr:x>
      <cdr:y>0.14322</cdr:y>
    </cdr:from>
    <cdr:to>
      <cdr:x>0.92956</cdr:x>
      <cdr:y>0.23083</cdr:y>
    </cdr:to>
    <cdr:sp macro="" textlink="">
      <cdr:nvSpPr>
        <cdr:cNvPr id="2053" name="AutoShap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54222" y="517473"/>
          <a:ext cx="940546" cy="314610"/>
        </a:xfrm>
        <a:prstGeom xmlns:a="http://schemas.openxmlformats.org/drawingml/2006/main" prst="wedgeRectCallout">
          <a:avLst>
            <a:gd name="adj1" fmla="val -40722"/>
            <a:gd name="adj2" fmla="val -13634"/>
          </a:avLst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Nettoinvestoinnit positiivisina lukuina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8"/>
  <sheetViews>
    <sheetView workbookViewId="0">
      <selection activeCell="H1" sqref="H1"/>
    </sheetView>
  </sheetViews>
  <sheetFormatPr defaultRowHeight="12.75" x14ac:dyDescent="0.2"/>
  <cols>
    <col min="1" max="7" width="9.33203125" style="501"/>
    <col min="8" max="8" width="10.1640625" style="501" bestFit="1" customWidth="1"/>
    <col min="9" max="14" width="9.33203125" style="501"/>
    <col min="15" max="20" width="9.33203125" style="498"/>
  </cols>
  <sheetData>
    <row r="1" spans="1:14" x14ac:dyDescent="0.2">
      <c r="A1" s="496" t="s">
        <v>399</v>
      </c>
      <c r="B1" s="496"/>
      <c r="C1" s="496"/>
      <c r="D1" s="496"/>
      <c r="E1" s="496"/>
      <c r="F1" s="496"/>
      <c r="G1" s="496"/>
      <c r="H1" s="497"/>
      <c r="I1" s="496"/>
      <c r="J1" s="496"/>
      <c r="K1" s="496"/>
      <c r="L1" s="496"/>
      <c r="M1" s="496"/>
      <c r="N1" s="496"/>
    </row>
    <row r="2" spans="1:14" x14ac:dyDescent="0.2">
      <c r="A2" s="496"/>
      <c r="B2" s="496"/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</row>
    <row r="3" spans="1:14" ht="18" x14ac:dyDescent="0.25">
      <c r="A3" s="499" t="s">
        <v>331</v>
      </c>
      <c r="B3" s="496"/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96"/>
    </row>
    <row r="4" spans="1:14" ht="18.75" customHeight="1" x14ac:dyDescent="0.25">
      <c r="A4" s="500" t="s">
        <v>419</v>
      </c>
      <c r="B4" s="496"/>
      <c r="C4" s="496"/>
      <c r="D4" s="496"/>
      <c r="E4" s="496"/>
      <c r="F4" s="496"/>
      <c r="G4" s="496"/>
      <c r="H4" s="496"/>
      <c r="I4" s="496"/>
      <c r="J4" s="496"/>
      <c r="K4" s="496"/>
      <c r="L4" s="496"/>
      <c r="M4" s="496"/>
      <c r="N4" s="496"/>
    </row>
    <row r="5" spans="1:14" x14ac:dyDescent="0.2">
      <c r="B5" s="496"/>
      <c r="C5" s="496"/>
      <c r="D5" s="496"/>
      <c r="E5" s="496"/>
      <c r="F5" s="496"/>
      <c r="G5" s="496"/>
      <c r="H5" s="496"/>
      <c r="I5" s="496"/>
      <c r="J5" s="496"/>
      <c r="K5" s="496"/>
      <c r="L5" s="496"/>
      <c r="M5" s="496"/>
      <c r="N5" s="496"/>
    </row>
    <row r="6" spans="1:14" ht="15.75" x14ac:dyDescent="0.25">
      <c r="A6" s="502" t="s">
        <v>374</v>
      </c>
      <c r="B6" s="496"/>
      <c r="C6" s="496"/>
      <c r="D6" s="496"/>
      <c r="E6" s="496"/>
      <c r="F6" s="496"/>
      <c r="G6" s="496"/>
      <c r="H6" s="496"/>
      <c r="I6" s="496"/>
      <c r="J6" s="496"/>
      <c r="K6" s="496"/>
      <c r="L6" s="496"/>
      <c r="M6" s="496"/>
      <c r="N6" s="496"/>
    </row>
    <row r="7" spans="1:14" x14ac:dyDescent="0.2">
      <c r="A7" s="496" t="s">
        <v>378</v>
      </c>
      <c r="B7" s="496"/>
      <c r="C7" s="496"/>
      <c r="D7" s="496"/>
      <c r="E7" s="496"/>
      <c r="F7" s="496"/>
      <c r="G7" s="496"/>
      <c r="H7" s="496"/>
      <c r="I7" s="496"/>
      <c r="J7" s="496"/>
      <c r="K7" s="496"/>
      <c r="L7" s="496"/>
      <c r="M7" s="496"/>
      <c r="N7" s="496"/>
    </row>
    <row r="8" spans="1:14" x14ac:dyDescent="0.2">
      <c r="A8" s="496" t="s">
        <v>420</v>
      </c>
      <c r="B8" s="496"/>
      <c r="C8" s="496"/>
      <c r="D8" s="496"/>
      <c r="E8" s="496"/>
      <c r="F8" s="496"/>
      <c r="G8" s="496"/>
      <c r="H8" s="496"/>
      <c r="I8" s="496"/>
      <c r="J8" s="496"/>
      <c r="K8" s="496"/>
      <c r="L8" s="496"/>
      <c r="M8" s="496"/>
      <c r="N8" s="496"/>
    </row>
    <row r="9" spans="1:14" x14ac:dyDescent="0.2">
      <c r="A9" s="496" t="s">
        <v>421</v>
      </c>
      <c r="B9" s="496"/>
      <c r="C9" s="496"/>
      <c r="D9" s="496"/>
      <c r="E9" s="496"/>
      <c r="F9" s="496"/>
      <c r="G9" s="496"/>
      <c r="H9" s="496"/>
      <c r="I9" s="496"/>
      <c r="J9" s="496"/>
      <c r="K9" s="496"/>
      <c r="L9" s="496"/>
      <c r="M9" s="496"/>
      <c r="N9" s="496"/>
    </row>
    <row r="10" spans="1:14" x14ac:dyDescent="0.2">
      <c r="A10" s="496" t="s">
        <v>387</v>
      </c>
      <c r="B10" s="496"/>
      <c r="C10" s="496"/>
      <c r="D10" s="503"/>
      <c r="E10" s="503"/>
      <c r="F10" s="503"/>
      <c r="G10" s="503"/>
      <c r="H10" s="503"/>
      <c r="I10" s="503"/>
      <c r="J10" s="503"/>
      <c r="K10" s="503"/>
      <c r="L10" s="503"/>
      <c r="M10" s="503"/>
      <c r="N10" s="496"/>
    </row>
    <row r="11" spans="1:14" x14ac:dyDescent="0.2">
      <c r="A11" s="496"/>
      <c r="B11" s="496"/>
      <c r="C11" s="496"/>
      <c r="D11" s="503"/>
      <c r="E11" s="503"/>
      <c r="F11" s="503"/>
      <c r="G11" s="503"/>
      <c r="H11" s="503"/>
      <c r="I11" s="503"/>
      <c r="J11" s="503"/>
      <c r="K11" s="503"/>
      <c r="L11" s="503"/>
      <c r="M11" s="503"/>
      <c r="N11" s="496"/>
    </row>
    <row r="12" spans="1:14" x14ac:dyDescent="0.2">
      <c r="A12" s="504" t="s">
        <v>388</v>
      </c>
      <c r="B12" s="503"/>
      <c r="C12" s="503"/>
      <c r="D12" s="503"/>
      <c r="E12" s="503"/>
      <c r="F12" s="503"/>
      <c r="G12" s="503"/>
      <c r="H12" s="503"/>
      <c r="I12" s="503"/>
      <c r="J12" s="503"/>
      <c r="K12" s="503"/>
      <c r="L12" s="503"/>
      <c r="M12" s="503"/>
      <c r="N12" s="496"/>
    </row>
    <row r="13" spans="1:14" x14ac:dyDescent="0.2">
      <c r="A13" s="504" t="s">
        <v>422</v>
      </c>
      <c r="B13" s="503"/>
      <c r="C13" s="503"/>
      <c r="D13" s="503"/>
      <c r="E13" s="503"/>
      <c r="F13" s="503"/>
      <c r="G13" s="503"/>
      <c r="H13" s="503"/>
      <c r="I13" s="503"/>
      <c r="J13" s="503"/>
      <c r="K13" s="503"/>
      <c r="L13" s="503"/>
      <c r="M13" s="496"/>
      <c r="N13" s="496"/>
    </row>
    <row r="14" spans="1:14" x14ac:dyDescent="0.2">
      <c r="A14" s="496" t="s">
        <v>423</v>
      </c>
      <c r="B14" s="496"/>
      <c r="C14" s="496"/>
      <c r="D14" s="496"/>
      <c r="E14" s="496"/>
      <c r="F14" s="496"/>
      <c r="G14" s="496"/>
      <c r="H14" s="496"/>
      <c r="I14" s="496"/>
      <c r="J14" s="496"/>
      <c r="K14" s="496"/>
      <c r="L14" s="496"/>
      <c r="M14" s="496"/>
      <c r="N14" s="496"/>
    </row>
    <row r="15" spans="1:14" x14ac:dyDescent="0.2">
      <c r="A15" s="496" t="s">
        <v>375</v>
      </c>
      <c r="B15" s="496"/>
      <c r="C15" s="496"/>
      <c r="D15" s="496"/>
      <c r="E15" s="496"/>
      <c r="F15" s="496"/>
      <c r="G15" s="496"/>
      <c r="H15" s="496"/>
      <c r="I15" s="496"/>
      <c r="J15" s="496"/>
      <c r="K15" s="496"/>
      <c r="L15" s="496"/>
      <c r="M15" s="496"/>
      <c r="N15" s="496"/>
    </row>
    <row r="16" spans="1:14" x14ac:dyDescent="0.2">
      <c r="A16" s="496" t="s">
        <v>345</v>
      </c>
      <c r="B16" s="496"/>
      <c r="C16" s="496"/>
      <c r="D16" s="496"/>
      <c r="E16" s="496"/>
      <c r="F16" s="496"/>
      <c r="G16" s="496"/>
      <c r="H16" s="496"/>
      <c r="I16" s="496"/>
      <c r="J16" s="496"/>
      <c r="K16" s="496"/>
      <c r="L16" s="496"/>
      <c r="M16" s="496"/>
      <c r="N16" s="496"/>
    </row>
    <row r="17" spans="1:14" x14ac:dyDescent="0.2">
      <c r="A17" s="496" t="s">
        <v>346</v>
      </c>
      <c r="B17" s="496"/>
      <c r="C17" s="496"/>
      <c r="D17" s="496"/>
      <c r="E17" s="496"/>
      <c r="F17" s="496"/>
      <c r="G17" s="496"/>
      <c r="H17" s="496"/>
      <c r="I17" s="496"/>
      <c r="J17" s="496"/>
      <c r="K17" s="496"/>
      <c r="L17" s="496"/>
      <c r="M17" s="496"/>
      <c r="N17" s="496"/>
    </row>
    <row r="18" spans="1:14" x14ac:dyDescent="0.2">
      <c r="A18" s="496"/>
      <c r="B18" s="496"/>
      <c r="C18" s="496"/>
      <c r="D18" s="496"/>
      <c r="E18" s="496"/>
      <c r="F18" s="496"/>
      <c r="G18" s="496"/>
      <c r="H18" s="496"/>
      <c r="I18" s="496"/>
      <c r="J18" s="496"/>
      <c r="K18" s="496"/>
      <c r="L18" s="496"/>
      <c r="M18" s="496"/>
      <c r="N18" s="496"/>
    </row>
    <row r="19" spans="1:14" x14ac:dyDescent="0.2">
      <c r="A19" s="505" t="s">
        <v>333</v>
      </c>
      <c r="B19" s="496"/>
      <c r="C19" s="496"/>
      <c r="D19" s="496"/>
      <c r="E19" s="496"/>
      <c r="F19" s="496"/>
      <c r="G19" s="496"/>
      <c r="H19" s="496"/>
      <c r="I19" s="496"/>
      <c r="J19" s="496"/>
      <c r="K19" s="496"/>
      <c r="L19" s="496"/>
      <c r="M19" s="496"/>
      <c r="N19" s="496"/>
    </row>
    <row r="20" spans="1:14" x14ac:dyDescent="0.2">
      <c r="A20" s="496"/>
      <c r="B20" s="496"/>
      <c r="C20" s="496"/>
      <c r="D20" s="496"/>
      <c r="E20" s="496"/>
      <c r="F20" s="496"/>
      <c r="G20" s="496"/>
      <c r="H20" s="496"/>
      <c r="I20" s="496"/>
      <c r="J20" s="496"/>
      <c r="K20" s="496"/>
      <c r="L20" s="496"/>
      <c r="M20" s="496"/>
      <c r="N20" s="496"/>
    </row>
    <row r="21" spans="1:14" ht="15.75" x14ac:dyDescent="0.25">
      <c r="A21" s="502" t="s">
        <v>376</v>
      </c>
      <c r="B21" s="496"/>
      <c r="C21" s="496"/>
      <c r="D21" s="496"/>
      <c r="E21" s="496"/>
      <c r="F21" s="496"/>
      <c r="G21" s="496"/>
      <c r="H21" s="496"/>
      <c r="I21" s="496"/>
      <c r="J21" s="496"/>
      <c r="K21" s="496"/>
      <c r="L21" s="496"/>
      <c r="M21" s="496"/>
      <c r="N21" s="496"/>
    </row>
    <row r="22" spans="1:14" ht="14.25" x14ac:dyDescent="0.2">
      <c r="A22" s="506" t="s">
        <v>336</v>
      </c>
      <c r="B22" s="496"/>
      <c r="C22" s="496"/>
      <c r="D22" s="496"/>
      <c r="E22" s="496"/>
      <c r="F22" s="496"/>
      <c r="G22" s="496"/>
      <c r="H22" s="496"/>
      <c r="I22" s="496"/>
      <c r="J22" s="496"/>
      <c r="K22" s="496"/>
      <c r="L22" s="496"/>
      <c r="M22" s="496"/>
      <c r="N22" s="496"/>
    </row>
    <row r="23" spans="1:14" x14ac:dyDescent="0.2">
      <c r="A23" s="496" t="s">
        <v>424</v>
      </c>
      <c r="B23" s="496"/>
      <c r="C23" s="496"/>
      <c r="D23" s="496"/>
      <c r="E23" s="496"/>
      <c r="F23" s="496"/>
      <c r="G23" s="496"/>
      <c r="H23" s="496"/>
      <c r="I23" s="496"/>
      <c r="J23" s="496"/>
      <c r="K23" s="496"/>
      <c r="L23" s="496"/>
      <c r="M23" s="496"/>
      <c r="N23" s="496"/>
    </row>
    <row r="24" spans="1:14" x14ac:dyDescent="0.2">
      <c r="A24" s="496" t="s">
        <v>425</v>
      </c>
      <c r="B24" s="496"/>
      <c r="C24" s="496"/>
      <c r="D24" s="496"/>
      <c r="E24" s="496"/>
      <c r="F24" s="496"/>
      <c r="G24" s="496"/>
      <c r="H24" s="496"/>
      <c r="I24" s="496"/>
      <c r="J24" s="496"/>
      <c r="K24" s="496"/>
      <c r="L24" s="496"/>
      <c r="M24" s="496"/>
      <c r="N24" s="496"/>
    </row>
    <row r="25" spans="1:14" ht="14.25" x14ac:dyDescent="0.2">
      <c r="A25" s="506" t="s">
        <v>337</v>
      </c>
      <c r="B25" s="496"/>
      <c r="C25" s="496"/>
      <c r="D25" s="496"/>
      <c r="E25" s="496"/>
      <c r="F25" s="496"/>
      <c r="G25" s="496"/>
      <c r="H25" s="496"/>
      <c r="I25" s="496"/>
      <c r="J25" s="496"/>
      <c r="K25" s="496"/>
      <c r="L25" s="496"/>
      <c r="M25" s="496"/>
      <c r="N25" s="496"/>
    </row>
    <row r="26" spans="1:14" x14ac:dyDescent="0.2">
      <c r="A26" s="496" t="s">
        <v>426</v>
      </c>
      <c r="B26" s="496"/>
      <c r="C26" s="496"/>
      <c r="D26" s="496"/>
      <c r="E26" s="496"/>
      <c r="F26" s="496"/>
      <c r="G26" s="496"/>
      <c r="H26" s="496"/>
      <c r="I26" s="496"/>
      <c r="J26" s="496"/>
      <c r="K26" s="496"/>
      <c r="L26" s="496"/>
      <c r="M26" s="496"/>
      <c r="N26" s="496"/>
    </row>
    <row r="27" spans="1:14" x14ac:dyDescent="0.2">
      <c r="A27" s="496" t="s">
        <v>427</v>
      </c>
      <c r="B27" s="496"/>
      <c r="C27" s="496"/>
      <c r="D27" s="496"/>
      <c r="E27" s="496"/>
      <c r="F27" s="496"/>
      <c r="G27" s="496"/>
      <c r="H27" s="496"/>
      <c r="I27" s="496"/>
      <c r="J27" s="496"/>
      <c r="K27" s="496"/>
      <c r="L27" s="496"/>
      <c r="M27" s="496"/>
      <c r="N27" s="496"/>
    </row>
    <row r="28" spans="1:14" x14ac:dyDescent="0.2">
      <c r="A28" s="496" t="s">
        <v>428</v>
      </c>
      <c r="B28" s="496"/>
      <c r="C28" s="496"/>
      <c r="D28" s="496"/>
      <c r="E28" s="496"/>
      <c r="F28" s="496"/>
      <c r="G28" s="496"/>
      <c r="H28" s="496"/>
      <c r="I28" s="496"/>
      <c r="J28" s="496"/>
      <c r="K28" s="496"/>
      <c r="L28" s="496"/>
      <c r="M28" s="496"/>
      <c r="N28" s="496"/>
    </row>
    <row r="29" spans="1:14" x14ac:dyDescent="0.2">
      <c r="A29" s="496" t="s">
        <v>332</v>
      </c>
      <c r="B29" s="496"/>
      <c r="C29" s="496"/>
      <c r="D29" s="496"/>
      <c r="E29" s="496"/>
      <c r="F29" s="496"/>
      <c r="G29" s="496"/>
      <c r="H29" s="496"/>
      <c r="I29" s="496"/>
      <c r="J29" s="496"/>
      <c r="K29" s="496"/>
      <c r="L29" s="496"/>
      <c r="M29" s="496"/>
      <c r="N29" s="496"/>
    </row>
    <row r="30" spans="1:14" ht="14.25" x14ac:dyDescent="0.2">
      <c r="A30" s="506" t="s">
        <v>338</v>
      </c>
      <c r="B30" s="496"/>
      <c r="C30" s="496"/>
      <c r="D30" s="496"/>
      <c r="E30" s="496"/>
      <c r="F30" s="496"/>
      <c r="G30" s="496"/>
      <c r="H30" s="496"/>
      <c r="I30" s="496"/>
      <c r="J30" s="496"/>
      <c r="K30" s="496"/>
      <c r="L30" s="496"/>
      <c r="M30" s="496"/>
      <c r="N30" s="496"/>
    </row>
    <row r="31" spans="1:14" x14ac:dyDescent="0.2">
      <c r="A31" s="496" t="s">
        <v>429</v>
      </c>
      <c r="B31" s="496"/>
      <c r="C31" s="496"/>
      <c r="D31" s="496"/>
      <c r="E31" s="496"/>
      <c r="F31" s="496"/>
      <c r="G31" s="496"/>
      <c r="H31" s="496"/>
      <c r="I31" s="496"/>
      <c r="J31" s="496"/>
      <c r="K31" s="496"/>
      <c r="L31" s="496"/>
      <c r="M31" s="496"/>
      <c r="N31" s="496"/>
    </row>
    <row r="32" spans="1:14" x14ac:dyDescent="0.2">
      <c r="A32" s="496" t="s">
        <v>430</v>
      </c>
      <c r="B32" s="496"/>
      <c r="C32" s="496"/>
      <c r="D32" s="496"/>
      <c r="E32" s="496"/>
      <c r="F32" s="496"/>
      <c r="G32" s="496"/>
      <c r="H32" s="496"/>
      <c r="I32" s="496"/>
      <c r="J32" s="496"/>
      <c r="K32" s="496"/>
      <c r="L32" s="496"/>
      <c r="M32" s="496"/>
      <c r="N32" s="496"/>
    </row>
    <row r="33" spans="1:14" x14ac:dyDescent="0.2">
      <c r="A33" s="496"/>
      <c r="B33" s="496"/>
      <c r="C33" s="496"/>
      <c r="D33" s="496"/>
      <c r="E33" s="496"/>
      <c r="F33" s="496"/>
      <c r="G33" s="496"/>
      <c r="H33" s="496"/>
      <c r="I33" s="496"/>
      <c r="J33" s="496"/>
      <c r="K33" s="496"/>
      <c r="L33" s="496"/>
      <c r="M33" s="496"/>
      <c r="N33" s="496"/>
    </row>
    <row r="34" spans="1:14" x14ac:dyDescent="0.2">
      <c r="A34" s="496" t="s">
        <v>432</v>
      </c>
      <c r="B34" s="496"/>
      <c r="C34" s="496"/>
      <c r="D34" s="496"/>
      <c r="E34" s="496"/>
      <c r="F34" s="496"/>
      <c r="G34" s="496"/>
      <c r="H34" s="496"/>
      <c r="I34" s="496"/>
      <c r="J34" s="496"/>
      <c r="K34" s="496"/>
      <c r="L34" s="496"/>
      <c r="M34" s="496"/>
      <c r="N34" s="496"/>
    </row>
    <row r="35" spans="1:14" x14ac:dyDescent="0.2">
      <c r="A35" s="496"/>
      <c r="B35" s="505" t="s">
        <v>433</v>
      </c>
      <c r="C35" s="496"/>
      <c r="D35" s="496"/>
      <c r="E35" s="496"/>
      <c r="F35" s="496"/>
      <c r="G35" s="496"/>
      <c r="H35" s="496"/>
      <c r="I35" s="496"/>
      <c r="J35" s="496"/>
      <c r="K35" s="496"/>
      <c r="L35" s="496"/>
      <c r="M35" s="496"/>
      <c r="N35" s="496"/>
    </row>
    <row r="36" spans="1:14" x14ac:dyDescent="0.2">
      <c r="A36" s="496"/>
      <c r="B36" s="505" t="s">
        <v>394</v>
      </c>
      <c r="C36" s="496"/>
      <c r="D36" s="496"/>
      <c r="E36" s="496"/>
      <c r="F36" s="496"/>
      <c r="G36" s="496"/>
      <c r="H36" s="496"/>
      <c r="I36" s="496"/>
      <c r="J36" s="496"/>
      <c r="K36" s="496"/>
      <c r="L36" s="496"/>
      <c r="M36" s="496"/>
      <c r="N36" s="496"/>
    </row>
    <row r="37" spans="1:14" x14ac:dyDescent="0.2">
      <c r="A37" s="496"/>
      <c r="B37" s="505" t="s">
        <v>395</v>
      </c>
      <c r="C37" s="496"/>
      <c r="D37" s="496"/>
      <c r="E37" s="496"/>
      <c r="F37" s="496"/>
      <c r="G37" s="496"/>
      <c r="H37" s="496"/>
      <c r="I37" s="496"/>
      <c r="J37" s="496"/>
      <c r="K37" s="496"/>
      <c r="L37" s="496"/>
      <c r="M37" s="496"/>
      <c r="N37" s="496"/>
    </row>
    <row r="38" spans="1:14" x14ac:dyDescent="0.2">
      <c r="A38" s="496"/>
      <c r="B38" s="505" t="s">
        <v>396</v>
      </c>
      <c r="C38" s="496"/>
      <c r="D38" s="496"/>
      <c r="E38" s="496"/>
      <c r="F38" s="496"/>
      <c r="G38" s="496"/>
      <c r="H38" s="496"/>
      <c r="I38" s="496"/>
      <c r="J38" s="496"/>
      <c r="K38" s="496"/>
      <c r="L38" s="496"/>
      <c r="M38" s="496"/>
      <c r="N38" s="496"/>
    </row>
    <row r="39" spans="1:14" x14ac:dyDescent="0.2">
      <c r="A39" s="496"/>
      <c r="B39" s="505" t="s">
        <v>431</v>
      </c>
      <c r="C39" s="496"/>
      <c r="D39" s="496"/>
      <c r="E39" s="496"/>
      <c r="F39" s="496"/>
      <c r="G39" s="496"/>
      <c r="H39" s="496"/>
      <c r="I39" s="496"/>
      <c r="J39" s="496"/>
      <c r="K39" s="496"/>
      <c r="L39" s="496"/>
      <c r="M39" s="496"/>
      <c r="N39" s="496"/>
    </row>
    <row r="40" spans="1:14" x14ac:dyDescent="0.2">
      <c r="A40" s="496" t="s">
        <v>434</v>
      </c>
      <c r="B40" s="496"/>
      <c r="C40" s="496"/>
      <c r="D40" s="496"/>
      <c r="E40" s="496"/>
      <c r="F40" s="496"/>
      <c r="G40" s="496"/>
      <c r="H40" s="496"/>
      <c r="I40" s="496"/>
      <c r="J40" s="496"/>
      <c r="K40" s="496"/>
      <c r="L40" s="496"/>
      <c r="M40" s="496"/>
      <c r="N40" s="496"/>
    </row>
    <row r="41" spans="1:14" x14ac:dyDescent="0.2">
      <c r="A41" s="496"/>
      <c r="B41" s="496"/>
      <c r="C41" s="496"/>
      <c r="D41" s="496"/>
      <c r="E41" s="496"/>
      <c r="F41" s="496"/>
      <c r="G41" s="496"/>
      <c r="H41" s="496"/>
      <c r="I41" s="496"/>
      <c r="J41" s="496"/>
      <c r="K41" s="496"/>
      <c r="L41" s="496"/>
      <c r="M41" s="496"/>
      <c r="N41" s="496"/>
    </row>
    <row r="42" spans="1:14" x14ac:dyDescent="0.2">
      <c r="A42" s="496" t="s">
        <v>334</v>
      </c>
      <c r="B42" s="496"/>
      <c r="C42" s="496"/>
      <c r="D42" s="496"/>
      <c r="E42" s="496"/>
      <c r="F42" s="496"/>
      <c r="G42" s="496"/>
      <c r="H42" s="496"/>
      <c r="I42" s="496"/>
      <c r="J42" s="496"/>
      <c r="K42" s="496"/>
      <c r="L42" s="496"/>
      <c r="M42" s="496"/>
      <c r="N42" s="496"/>
    </row>
    <row r="43" spans="1:14" x14ac:dyDescent="0.2">
      <c r="A43" s="496" t="s">
        <v>335</v>
      </c>
      <c r="B43" s="496"/>
      <c r="C43" s="496"/>
      <c r="D43" s="496"/>
      <c r="E43" s="496"/>
      <c r="F43" s="496"/>
      <c r="G43" s="496"/>
      <c r="H43" s="496"/>
      <c r="I43" s="496"/>
      <c r="J43" s="496"/>
      <c r="K43" s="496"/>
      <c r="L43" s="496"/>
      <c r="M43" s="496"/>
      <c r="N43" s="496"/>
    </row>
    <row r="44" spans="1:14" x14ac:dyDescent="0.2">
      <c r="A44" s="496"/>
      <c r="B44" s="496"/>
      <c r="C44" s="496"/>
      <c r="D44" s="496"/>
      <c r="E44" s="496"/>
      <c r="F44" s="496"/>
      <c r="G44" s="496"/>
      <c r="H44" s="496"/>
      <c r="I44" s="496"/>
      <c r="J44" s="496"/>
      <c r="K44" s="496"/>
      <c r="L44" s="496"/>
      <c r="M44" s="496"/>
      <c r="N44" s="496"/>
    </row>
    <row r="45" spans="1:14" x14ac:dyDescent="0.2">
      <c r="A45" s="496" t="s">
        <v>435</v>
      </c>
      <c r="B45" s="496"/>
      <c r="C45" s="496"/>
      <c r="D45" s="496"/>
      <c r="E45" s="496"/>
      <c r="F45" s="496"/>
      <c r="G45" s="496"/>
      <c r="H45" s="496"/>
      <c r="I45" s="496"/>
      <c r="J45" s="496"/>
      <c r="K45" s="496"/>
      <c r="L45" s="496"/>
      <c r="M45" s="496"/>
      <c r="N45" s="496"/>
    </row>
    <row r="46" spans="1:14" ht="14.25" x14ac:dyDescent="0.2">
      <c r="A46" s="506" t="s">
        <v>340</v>
      </c>
      <c r="B46" s="496"/>
      <c r="C46" s="496"/>
      <c r="D46" s="496"/>
      <c r="E46" s="496"/>
      <c r="F46" s="496"/>
      <c r="G46" s="496"/>
      <c r="H46" s="496"/>
      <c r="I46" s="496"/>
      <c r="J46" s="496"/>
      <c r="K46" s="496"/>
      <c r="L46" s="496"/>
      <c r="M46" s="496"/>
      <c r="N46" s="496"/>
    </row>
    <row r="47" spans="1:14" x14ac:dyDescent="0.2">
      <c r="A47" s="496" t="s">
        <v>436</v>
      </c>
      <c r="B47" s="496"/>
      <c r="C47" s="496"/>
      <c r="D47" s="496"/>
      <c r="E47" s="496"/>
      <c r="F47" s="496"/>
      <c r="G47" s="496"/>
      <c r="H47" s="496"/>
      <c r="I47" s="496"/>
      <c r="J47" s="496"/>
      <c r="K47" s="496"/>
      <c r="L47" s="496"/>
      <c r="M47" s="496"/>
      <c r="N47" s="496"/>
    </row>
    <row r="48" spans="1:14" x14ac:dyDescent="0.2">
      <c r="A48" s="496" t="s">
        <v>341</v>
      </c>
      <c r="B48" s="496"/>
      <c r="C48" s="496"/>
      <c r="D48" s="496"/>
      <c r="E48" s="496"/>
      <c r="F48" s="496"/>
      <c r="G48" s="496"/>
      <c r="H48" s="496"/>
      <c r="I48" s="496"/>
      <c r="J48" s="496"/>
      <c r="K48" s="496"/>
      <c r="L48" s="496"/>
      <c r="M48" s="496"/>
      <c r="N48" s="496"/>
    </row>
    <row r="49" spans="1:14" x14ac:dyDescent="0.2">
      <c r="A49" s="496"/>
      <c r="B49" s="496"/>
      <c r="C49" s="496"/>
      <c r="D49" s="496"/>
      <c r="E49" s="496"/>
      <c r="F49" s="496"/>
      <c r="G49" s="496"/>
      <c r="H49" s="496"/>
      <c r="I49" s="496"/>
      <c r="J49" s="496"/>
      <c r="K49" s="496"/>
      <c r="L49" s="496"/>
      <c r="M49" s="496"/>
      <c r="N49" s="496"/>
    </row>
    <row r="50" spans="1:14" x14ac:dyDescent="0.2">
      <c r="A50" s="496" t="s">
        <v>437</v>
      </c>
      <c r="B50" s="496"/>
      <c r="C50" s="496"/>
      <c r="D50" s="496"/>
      <c r="E50" s="496"/>
      <c r="F50" s="496"/>
      <c r="G50" s="496"/>
      <c r="H50" s="496"/>
      <c r="I50" s="496"/>
      <c r="J50" s="496"/>
      <c r="K50" s="496"/>
      <c r="L50" s="496"/>
      <c r="M50" s="496"/>
      <c r="N50" s="496"/>
    </row>
    <row r="51" spans="1:14" x14ac:dyDescent="0.2">
      <c r="A51" s="496" t="s">
        <v>377</v>
      </c>
      <c r="B51" s="496"/>
      <c r="C51" s="496"/>
      <c r="D51" s="496"/>
      <c r="E51" s="496"/>
      <c r="F51" s="496"/>
      <c r="G51" s="496"/>
      <c r="H51" s="496"/>
      <c r="I51" s="496"/>
      <c r="J51" s="496"/>
      <c r="K51" s="496"/>
      <c r="L51" s="496"/>
      <c r="M51" s="496"/>
      <c r="N51" s="496"/>
    </row>
    <row r="52" spans="1:14" x14ac:dyDescent="0.2">
      <c r="A52" s="496"/>
      <c r="B52" s="496"/>
      <c r="C52" s="496"/>
      <c r="D52" s="496"/>
      <c r="E52" s="496"/>
      <c r="F52" s="496"/>
      <c r="G52" s="496"/>
      <c r="H52" s="496"/>
      <c r="I52" s="496"/>
      <c r="J52" s="496"/>
      <c r="K52" s="496"/>
      <c r="L52" s="496"/>
      <c r="M52" s="496"/>
      <c r="N52" s="496"/>
    </row>
    <row r="53" spans="1:14" x14ac:dyDescent="0.2">
      <c r="A53" s="496" t="s">
        <v>438</v>
      </c>
      <c r="B53" s="496"/>
      <c r="C53" s="496"/>
      <c r="D53" s="496"/>
      <c r="E53" s="496"/>
      <c r="F53" s="496"/>
      <c r="G53" s="496"/>
      <c r="H53" s="496"/>
      <c r="I53" s="496"/>
      <c r="J53" s="496"/>
      <c r="K53" s="496"/>
      <c r="L53" s="496"/>
      <c r="M53" s="496"/>
      <c r="N53" s="496"/>
    </row>
    <row r="54" spans="1:14" x14ac:dyDescent="0.2">
      <c r="A54" s="496" t="s">
        <v>439</v>
      </c>
      <c r="B54" s="496"/>
      <c r="C54" s="496"/>
      <c r="D54" s="496"/>
      <c r="E54" s="496"/>
      <c r="F54" s="496"/>
      <c r="G54" s="496"/>
      <c r="H54" s="496"/>
      <c r="I54" s="496"/>
      <c r="J54" s="496"/>
      <c r="K54" s="496"/>
      <c r="L54" s="496"/>
      <c r="M54" s="496"/>
      <c r="N54" s="496"/>
    </row>
    <row r="55" spans="1:14" x14ac:dyDescent="0.2">
      <c r="A55" s="507" t="s">
        <v>458</v>
      </c>
      <c r="B55" s="496"/>
      <c r="C55" s="496"/>
      <c r="D55" s="496"/>
      <c r="E55" s="496"/>
      <c r="F55" s="496"/>
      <c r="G55" s="496"/>
      <c r="H55" s="496"/>
      <c r="I55" s="496"/>
      <c r="J55" s="496"/>
      <c r="K55" s="496"/>
      <c r="L55" s="496"/>
      <c r="M55" s="496"/>
      <c r="N55" s="496"/>
    </row>
    <row r="56" spans="1:14" x14ac:dyDescent="0.2">
      <c r="A56" s="507"/>
      <c r="B56" s="507"/>
      <c r="C56" s="507"/>
      <c r="D56" s="507"/>
      <c r="E56" s="507"/>
      <c r="F56" s="507"/>
      <c r="G56" s="507"/>
      <c r="H56" s="507"/>
      <c r="I56" s="507"/>
      <c r="J56" s="507"/>
      <c r="K56" s="507"/>
      <c r="L56" s="507"/>
      <c r="M56" s="507"/>
      <c r="N56" s="507"/>
    </row>
    <row r="57" spans="1:14" x14ac:dyDescent="0.2">
      <c r="A57" s="529" t="s">
        <v>416</v>
      </c>
      <c r="B57" s="530"/>
      <c r="C57" s="530"/>
      <c r="D57" s="530"/>
      <c r="E57" s="530"/>
      <c r="F57" s="530"/>
      <c r="G57" s="530"/>
      <c r="H57" s="530"/>
      <c r="I57" s="530"/>
      <c r="J57" s="530"/>
      <c r="K57" s="530"/>
      <c r="L57" s="530"/>
      <c r="M57" s="530"/>
      <c r="N57" s="531"/>
    </row>
    <row r="58" spans="1:14" x14ac:dyDescent="0.2">
      <c r="A58" s="532" t="s">
        <v>459</v>
      </c>
      <c r="B58" s="533"/>
      <c r="C58" s="533"/>
      <c r="D58" s="533"/>
      <c r="E58" s="533"/>
      <c r="F58" s="533"/>
      <c r="G58" s="533"/>
      <c r="H58" s="533"/>
      <c r="I58" s="533"/>
      <c r="J58" s="533"/>
      <c r="K58" s="533"/>
      <c r="L58" s="533"/>
      <c r="M58" s="533"/>
      <c r="N58" s="534"/>
    </row>
    <row r="59" spans="1:14" x14ac:dyDescent="0.2">
      <c r="A59" s="535" t="s">
        <v>460</v>
      </c>
      <c r="B59" s="536"/>
      <c r="C59" s="536"/>
      <c r="D59" s="536"/>
      <c r="E59" s="536"/>
      <c r="F59" s="536"/>
      <c r="G59" s="536"/>
      <c r="H59" s="536"/>
      <c r="I59" s="536"/>
      <c r="J59" s="536"/>
      <c r="K59" s="536"/>
      <c r="L59" s="536"/>
      <c r="M59" s="536"/>
      <c r="N59" s="537"/>
    </row>
    <row r="60" spans="1:14" x14ac:dyDescent="0.2">
      <c r="B60" s="507"/>
      <c r="C60" s="496"/>
      <c r="D60" s="496"/>
      <c r="E60" s="496"/>
      <c r="F60" s="496"/>
      <c r="G60" s="496"/>
      <c r="H60" s="496"/>
      <c r="I60" s="496"/>
      <c r="J60" s="496"/>
      <c r="K60" s="496"/>
      <c r="L60" s="496"/>
      <c r="M60" s="496"/>
      <c r="N60" s="496"/>
    </row>
    <row r="61" spans="1:14" x14ac:dyDescent="0.2">
      <c r="A61" s="496" t="s">
        <v>417</v>
      </c>
      <c r="B61" s="496"/>
      <c r="C61" s="496"/>
      <c r="D61" s="496"/>
      <c r="E61" s="496"/>
      <c r="F61" s="496"/>
      <c r="G61" s="496"/>
      <c r="H61" s="496"/>
      <c r="I61" s="496"/>
      <c r="J61" s="496"/>
      <c r="K61" s="496"/>
      <c r="L61" s="496"/>
      <c r="M61" s="496"/>
      <c r="N61" s="496"/>
    </row>
    <row r="62" spans="1:14" x14ac:dyDescent="0.2">
      <c r="A62" s="496" t="s">
        <v>342</v>
      </c>
      <c r="B62" s="496"/>
      <c r="C62" s="496"/>
      <c r="D62" s="496"/>
      <c r="E62" s="496"/>
      <c r="F62" s="496"/>
      <c r="G62" s="496"/>
      <c r="H62" s="496"/>
      <c r="I62" s="496"/>
      <c r="J62" s="496"/>
      <c r="K62" s="496"/>
      <c r="L62" s="496"/>
      <c r="M62" s="496"/>
      <c r="N62" s="496"/>
    </row>
    <row r="63" spans="1:14" x14ac:dyDescent="0.2">
      <c r="A63" s="496" t="s">
        <v>418</v>
      </c>
      <c r="B63" s="496"/>
      <c r="C63" s="496"/>
      <c r="D63" s="496"/>
      <c r="E63" s="496"/>
      <c r="F63" s="496"/>
      <c r="G63" s="496"/>
      <c r="H63" s="496"/>
      <c r="I63" s="496"/>
      <c r="J63" s="496"/>
      <c r="K63" s="496"/>
      <c r="L63" s="496"/>
      <c r="M63" s="496"/>
      <c r="N63" s="496"/>
    </row>
    <row r="64" spans="1:14" ht="15" x14ac:dyDescent="0.2">
      <c r="A64" s="496"/>
      <c r="B64" s="496"/>
      <c r="C64" s="508"/>
      <c r="D64" s="508"/>
      <c r="E64" s="508"/>
      <c r="F64" s="508"/>
      <c r="G64" s="508"/>
      <c r="H64" s="508"/>
      <c r="I64" s="508"/>
      <c r="J64" s="508"/>
      <c r="K64" s="508"/>
      <c r="L64" s="508"/>
      <c r="M64" s="508"/>
      <c r="N64" s="508"/>
    </row>
    <row r="65" spans="1:20" s="145" customFormat="1" ht="15.75" x14ac:dyDescent="0.25">
      <c r="A65" s="502"/>
      <c r="B65" s="508"/>
      <c r="C65" s="496"/>
      <c r="D65" s="496"/>
      <c r="E65" s="496"/>
      <c r="F65" s="496"/>
      <c r="G65" s="496"/>
      <c r="H65" s="496"/>
      <c r="I65" s="496"/>
      <c r="J65" s="496"/>
      <c r="K65" s="496"/>
      <c r="L65" s="496"/>
      <c r="M65" s="496"/>
      <c r="N65" s="496"/>
      <c r="O65" s="509"/>
      <c r="P65" s="509"/>
      <c r="Q65" s="509"/>
      <c r="R65" s="498"/>
      <c r="S65" s="509"/>
      <c r="T65" s="509"/>
    </row>
    <row r="66" spans="1:20" ht="15" x14ac:dyDescent="0.2">
      <c r="A66" s="496"/>
      <c r="B66" s="496"/>
      <c r="C66" s="496"/>
      <c r="D66" s="496"/>
      <c r="E66" s="496"/>
      <c r="F66" s="496"/>
      <c r="G66" s="496"/>
      <c r="H66" s="496"/>
      <c r="I66" s="496"/>
      <c r="J66" s="496"/>
      <c r="K66" s="496"/>
      <c r="L66" s="496"/>
      <c r="M66" s="496"/>
      <c r="N66" s="496"/>
      <c r="R66" s="509"/>
    </row>
    <row r="67" spans="1:20" x14ac:dyDescent="0.2">
      <c r="A67" s="496"/>
      <c r="B67" s="496"/>
      <c r="C67" s="496"/>
      <c r="D67" s="496"/>
      <c r="E67" s="496"/>
      <c r="F67" s="496"/>
      <c r="G67" s="496"/>
      <c r="H67" s="496"/>
      <c r="I67" s="496"/>
      <c r="J67" s="496"/>
      <c r="K67" s="496"/>
      <c r="L67" s="496"/>
      <c r="M67" s="496"/>
      <c r="N67" s="496"/>
    </row>
    <row r="68" spans="1:20" x14ac:dyDescent="0.2">
      <c r="A68" s="510"/>
      <c r="B68" s="496"/>
    </row>
  </sheetData>
  <phoneticPr fontId="15" type="noConversion"/>
  <pageMargins left="0.59055118110236227" right="0.59055118110236227" top="0.59055118110236227" bottom="0.59055118110236227" header="0.51181102362204722" footer="0.51181102362204722"/>
  <pageSetup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161"/>
  <sheetViews>
    <sheetView showGridLines="0" tabSelected="1" workbookViewId="0">
      <pane ySplit="5" topLeftCell="A11" activePane="bottomLeft" state="frozen"/>
      <selection pane="bottomLeft" activeCell="Q17" sqref="Q17"/>
    </sheetView>
  </sheetViews>
  <sheetFormatPr defaultRowHeight="11.25" x14ac:dyDescent="0.2"/>
  <cols>
    <col min="1" max="1" width="33.33203125" style="2" customWidth="1"/>
    <col min="2" max="2" width="11.5" style="1" customWidth="1"/>
    <col min="3" max="3" width="11.5" style="2" customWidth="1"/>
    <col min="4" max="4" width="11.83203125" style="2" customWidth="1"/>
    <col min="5" max="5" width="12" style="2" customWidth="1"/>
    <col min="6" max="7" width="11.33203125" style="2" customWidth="1"/>
    <col min="8" max="8" width="12.6640625" style="2" customWidth="1"/>
    <col min="9" max="9" width="12.83203125" style="2" customWidth="1"/>
    <col min="10" max="10" width="12.6640625" style="2" customWidth="1"/>
    <col min="11" max="11" width="13.33203125" style="2" customWidth="1"/>
    <col min="12" max="12" width="12.1640625" style="2" customWidth="1"/>
    <col min="13" max="13" width="12.33203125" style="2" customWidth="1"/>
    <col min="14" max="14" width="2.1640625" style="2" customWidth="1"/>
    <col min="15" max="15" width="10.6640625" style="2" bestFit="1" customWidth="1"/>
    <col min="16" max="16" width="13" style="2" customWidth="1"/>
    <col min="17" max="21" width="12" style="291" customWidth="1"/>
  </cols>
  <sheetData>
    <row r="1" spans="1:33" x14ac:dyDescent="0.2">
      <c r="A1" s="350" t="s">
        <v>440</v>
      </c>
      <c r="B1" s="25"/>
      <c r="C1" s="25"/>
      <c r="D1" s="77"/>
      <c r="E1" s="81"/>
      <c r="F1" s="25"/>
      <c r="G1" s="47"/>
      <c r="H1" s="97" t="s">
        <v>344</v>
      </c>
      <c r="I1" s="47"/>
      <c r="J1" s="47"/>
      <c r="K1" s="25"/>
      <c r="L1" s="43">
        <v>45929</v>
      </c>
      <c r="M1" s="25"/>
      <c r="N1" s="25"/>
      <c r="O1" s="25"/>
      <c r="P1" s="25"/>
      <c r="Q1" s="290"/>
      <c r="R1" s="290"/>
      <c r="S1" s="290"/>
      <c r="T1" s="290"/>
      <c r="U1" s="290"/>
      <c r="V1" s="30"/>
      <c r="W1" s="30"/>
      <c r="X1" s="30"/>
    </row>
    <row r="2" spans="1:33" ht="20.25" x14ac:dyDescent="0.3">
      <c r="A2" s="26" t="s">
        <v>331</v>
      </c>
      <c r="B2" s="25"/>
      <c r="C2" s="25"/>
      <c r="D2" s="25"/>
      <c r="E2" s="25"/>
      <c r="F2" s="344"/>
      <c r="G2" s="47"/>
      <c r="H2" s="48"/>
      <c r="I2" s="49"/>
      <c r="J2" s="438" t="s">
        <v>461</v>
      </c>
      <c r="K2" s="25"/>
      <c r="L2" s="115"/>
      <c r="M2" s="25"/>
      <c r="N2" s="25"/>
      <c r="O2" s="25"/>
      <c r="P2" s="81"/>
      <c r="Q2" s="290"/>
      <c r="R2" s="290"/>
      <c r="S2" s="290"/>
      <c r="T2" s="290"/>
      <c r="U2" s="290"/>
      <c r="V2" s="30"/>
      <c r="W2" s="30"/>
      <c r="X2" s="30"/>
    </row>
    <row r="3" spans="1:33" ht="18" x14ac:dyDescent="0.25">
      <c r="A3" s="266" t="s">
        <v>382</v>
      </c>
      <c r="B3" s="13"/>
      <c r="C3" s="13"/>
      <c r="D3" s="351"/>
      <c r="E3" s="25"/>
      <c r="F3" s="345"/>
      <c r="G3" s="47"/>
      <c r="H3" s="187"/>
      <c r="I3" s="188"/>
      <c r="J3" s="254"/>
      <c r="K3" s="25"/>
      <c r="M3" s="25"/>
      <c r="N3" s="25"/>
      <c r="O3" s="25"/>
      <c r="P3" s="25"/>
      <c r="Q3" s="131"/>
      <c r="R3" s="131"/>
      <c r="S3" s="131"/>
      <c r="T3" s="131"/>
      <c r="U3" s="131"/>
      <c r="V3" s="27"/>
      <c r="W3" s="27"/>
      <c r="X3" s="27"/>
      <c r="Y3" s="1"/>
      <c r="Z3" s="1"/>
      <c r="AA3" s="1"/>
      <c r="AB3" s="1"/>
      <c r="AC3" s="1"/>
      <c r="AD3" s="1"/>
      <c r="AE3" s="1"/>
      <c r="AF3" s="1"/>
      <c r="AG3" s="1"/>
    </row>
    <row r="4" spans="1:33" x14ac:dyDescent="0.2">
      <c r="A4" s="50" t="str">
        <f>INDEX(pohjatiedot!$B$3:$B$296,KEHIKKO!$A$5)</f>
        <v>KOKO MAA (Manner-Suomi)</v>
      </c>
      <c r="B4" s="200"/>
      <c r="C4" s="200"/>
      <c r="D4" s="199"/>
      <c r="E4" s="189"/>
      <c r="F4" s="189"/>
      <c r="G4" s="189"/>
      <c r="H4" s="189"/>
      <c r="I4" s="189"/>
      <c r="J4" s="189"/>
      <c r="K4" s="189"/>
      <c r="L4" s="189"/>
      <c r="M4" s="189"/>
      <c r="N4" s="16"/>
      <c r="O4" s="16"/>
      <c r="P4" s="16"/>
      <c r="Q4" s="131"/>
      <c r="R4" s="131"/>
      <c r="S4" s="131"/>
      <c r="T4" s="131"/>
      <c r="U4" s="131"/>
      <c r="V4" s="27"/>
      <c r="W4" s="27"/>
      <c r="X4" s="27"/>
      <c r="Y4" s="1"/>
      <c r="Z4" s="1"/>
      <c r="AA4" s="1"/>
      <c r="AB4" s="1"/>
      <c r="AC4" s="1"/>
      <c r="AD4" s="1"/>
      <c r="AE4" s="1"/>
      <c r="AF4" s="1"/>
      <c r="AG4" s="1"/>
    </row>
    <row r="5" spans="1:33" x14ac:dyDescent="0.2">
      <c r="A5" s="51">
        <v>95</v>
      </c>
      <c r="B5" s="258" t="s">
        <v>444</v>
      </c>
      <c r="C5" s="259" t="s">
        <v>462</v>
      </c>
      <c r="D5" s="454">
        <v>2025</v>
      </c>
      <c r="E5" s="256">
        <v>2026</v>
      </c>
      <c r="F5" s="256">
        <v>2027</v>
      </c>
      <c r="G5" s="256">
        <v>2028</v>
      </c>
      <c r="H5" s="256">
        <v>2029</v>
      </c>
      <c r="I5" s="256">
        <v>2030</v>
      </c>
      <c r="J5" s="256">
        <v>2031</v>
      </c>
      <c r="K5" s="256">
        <v>2032</v>
      </c>
      <c r="L5" s="256">
        <v>2033</v>
      </c>
      <c r="M5" s="256">
        <v>2034</v>
      </c>
      <c r="N5" s="28"/>
      <c r="O5" s="28"/>
      <c r="P5" s="125"/>
      <c r="Q5" s="131"/>
      <c r="R5" s="31"/>
      <c r="S5" s="31"/>
      <c r="T5" s="31"/>
      <c r="U5" s="31"/>
      <c r="V5" s="31"/>
      <c r="W5" s="31"/>
      <c r="X5" s="31"/>
      <c r="Y5" s="7"/>
      <c r="Z5" s="7"/>
      <c r="AA5" s="7"/>
      <c r="AB5" s="7"/>
      <c r="AC5" s="7"/>
      <c r="AD5" s="7"/>
      <c r="AE5" s="8"/>
      <c r="AF5" s="8"/>
      <c r="AG5" s="9"/>
    </row>
    <row r="6" spans="1:33" ht="15.75" x14ac:dyDescent="0.25">
      <c r="A6" s="225" t="s">
        <v>322</v>
      </c>
      <c r="B6" s="538">
        <v>1000</v>
      </c>
      <c r="C6" s="538">
        <v>1000</v>
      </c>
      <c r="D6" s="539">
        <v>1000</v>
      </c>
      <c r="E6" s="540">
        <v>1000</v>
      </c>
      <c r="F6" s="540">
        <v>1000</v>
      </c>
      <c r="G6" s="540">
        <v>1000</v>
      </c>
      <c r="H6" s="540">
        <v>1000</v>
      </c>
      <c r="I6" s="540">
        <v>1000</v>
      </c>
      <c r="J6" s="540">
        <v>1000</v>
      </c>
      <c r="K6" s="540">
        <v>1000</v>
      </c>
      <c r="L6" s="540">
        <v>1000</v>
      </c>
      <c r="M6" s="541">
        <v>1000</v>
      </c>
      <c r="N6" s="29"/>
      <c r="O6" s="29"/>
      <c r="P6" s="29"/>
      <c r="Q6" s="32"/>
      <c r="R6" s="32"/>
      <c r="S6" s="32"/>
      <c r="T6" s="32"/>
      <c r="U6" s="32"/>
      <c r="V6" s="32"/>
      <c r="W6" s="32"/>
      <c r="X6" s="32"/>
      <c r="Y6" s="10"/>
      <c r="Z6" s="10"/>
      <c r="AA6" s="10"/>
      <c r="AB6" s="10"/>
      <c r="AC6" s="10"/>
      <c r="AD6" s="10"/>
      <c r="AE6" s="11"/>
      <c r="AF6" s="9"/>
      <c r="AG6" s="9"/>
    </row>
    <row r="7" spans="1:33" ht="15.75" x14ac:dyDescent="0.25">
      <c r="A7" s="542"/>
      <c r="B7" s="543"/>
      <c r="C7" s="544"/>
      <c r="D7" s="544"/>
      <c r="E7" s="545"/>
      <c r="F7" s="545"/>
      <c r="G7" s="545"/>
      <c r="H7" s="545"/>
      <c r="I7" s="545"/>
      <c r="J7" s="545"/>
      <c r="K7" s="545"/>
      <c r="L7" s="545"/>
      <c r="M7" s="546"/>
      <c r="N7" s="29"/>
      <c r="O7" s="29"/>
      <c r="P7" s="29"/>
      <c r="Q7" s="32"/>
      <c r="R7" s="32"/>
      <c r="S7" s="32"/>
      <c r="T7" s="32"/>
      <c r="U7" s="32"/>
      <c r="V7" s="32"/>
      <c r="W7" s="32"/>
      <c r="X7" s="32"/>
      <c r="Y7" s="10"/>
      <c r="Z7" s="10"/>
      <c r="AA7" s="10"/>
      <c r="AB7" s="10"/>
      <c r="AC7" s="10"/>
      <c r="AD7" s="10"/>
      <c r="AE7" s="11"/>
      <c r="AF7" s="9"/>
      <c r="AG7" s="9"/>
    </row>
    <row r="8" spans="1:33" x14ac:dyDescent="0.2">
      <c r="A8" s="19" t="s">
        <v>326</v>
      </c>
      <c r="B8" s="74">
        <f>VLOOKUP($A$4,pohjatiedot!$B$3:$CB$296,2)</f>
        <v>5573310</v>
      </c>
      <c r="C8" s="116">
        <f>VLOOKUP($A$4,pohjatiedot!$B$3:$CB$296,40)</f>
        <v>5605317</v>
      </c>
      <c r="D8" s="116">
        <f>VLOOKUP($A$4,väestöennuste!$A$8:$M$303,6)</f>
        <v>5634755.0991483154</v>
      </c>
      <c r="E8" s="276">
        <f>VLOOKUP($A$4,väestöennuste!$A$8:$M$303,7)</f>
        <v>5659124.5818050373</v>
      </c>
      <c r="F8" s="276">
        <f>VLOOKUP($A$4,väestöennuste!$A$8:$M$303,8)</f>
        <v>5683205.1154699614</v>
      </c>
      <c r="G8" s="276">
        <f>VLOOKUP($A$4,väestöennuste!$A$8:$M$303,9)</f>
        <v>5706993.649962577</v>
      </c>
      <c r="H8" s="276">
        <f>VLOOKUP($A$4,väestöennuste!$A$8:$M$303,10)</f>
        <v>5730436.0205329033</v>
      </c>
      <c r="I8" s="276">
        <f>VLOOKUP($A$4,väestöennuste!$A$8:$M$303,11)</f>
        <v>5753520.8284119572</v>
      </c>
      <c r="J8" s="276">
        <f>VLOOKUP($A$4,väestöennuste!$A$8:$M$303,12)</f>
        <v>5776185.3698676806</v>
      </c>
      <c r="K8" s="276">
        <f>VLOOKUP($A$4,väestöennuste!$A$8:$O$303,13)</f>
        <v>5798417.9359263573</v>
      </c>
      <c r="L8" s="276">
        <f>VLOOKUP($A$4,väestöennuste!$A$8:$O$303,14)</f>
        <v>5820261.7650889205</v>
      </c>
      <c r="M8" s="277">
        <f>VLOOKUP($A$4,väestöennuste!$A$8:$O$303,15)</f>
        <v>5841671.3798028417</v>
      </c>
      <c r="O8" s="432" t="s">
        <v>468</v>
      </c>
      <c r="P8" s="44"/>
      <c r="Q8" s="32"/>
      <c r="R8" s="32"/>
      <c r="S8" s="32"/>
      <c r="T8" s="32"/>
      <c r="U8" s="32"/>
      <c r="V8" s="32"/>
      <c r="W8" s="32"/>
      <c r="X8" s="32"/>
      <c r="Y8" s="10"/>
      <c r="Z8" s="10"/>
      <c r="AA8" s="10"/>
      <c r="AB8" s="10"/>
      <c r="AC8" s="10"/>
      <c r="AD8" s="10"/>
      <c r="AE8" s="11"/>
      <c r="AF8" s="9"/>
      <c r="AG8" s="9"/>
    </row>
    <row r="9" spans="1:33" x14ac:dyDescent="0.2">
      <c r="A9" s="226" t="s">
        <v>3</v>
      </c>
      <c r="B9" s="71">
        <f>VLOOKUP($A$4,pohjatiedot!$B$3:$CB$296,3)</f>
        <v>7.33</v>
      </c>
      <c r="C9" s="117">
        <f>VLOOKUP($A$4,pohjatiedot!$B$3:$CB$296,41)</f>
        <v>7.4661412490259718</v>
      </c>
      <c r="D9" s="117">
        <f>VLOOKUP($A$4,pohjatiedot!$B$3:$CE$296,79)</f>
        <v>7.5294273297796392</v>
      </c>
      <c r="E9" s="429">
        <f>VLOOKUP($A$4,pohjatiedot!$B$3:$CE$296,80)</f>
        <v>7.5294273297796392</v>
      </c>
      <c r="F9" s="45">
        <f>E9</f>
        <v>7.5294273297796392</v>
      </c>
      <c r="G9" s="45">
        <f>F9</f>
        <v>7.5294273297796392</v>
      </c>
      <c r="H9" s="45">
        <f t="shared" ref="H9:M9" si="0">G9</f>
        <v>7.5294273297796392</v>
      </c>
      <c r="I9" s="45">
        <f t="shared" si="0"/>
        <v>7.5294273297796392</v>
      </c>
      <c r="J9" s="45">
        <f t="shared" si="0"/>
        <v>7.5294273297796392</v>
      </c>
      <c r="K9" s="45">
        <f t="shared" si="0"/>
        <v>7.5294273297796392</v>
      </c>
      <c r="L9" s="45">
        <f t="shared" si="0"/>
        <v>7.5294273297796392</v>
      </c>
      <c r="M9" s="46">
        <f t="shared" si="0"/>
        <v>7.5294273297796392</v>
      </c>
      <c r="N9" s="33"/>
      <c r="O9" s="81" t="s">
        <v>469</v>
      </c>
      <c r="P9" s="34"/>
      <c r="Q9" s="32"/>
      <c r="R9" s="32"/>
      <c r="S9" s="32"/>
      <c r="T9" s="32"/>
      <c r="U9" s="32"/>
      <c r="V9" s="32"/>
      <c r="W9" s="32"/>
      <c r="X9" s="32"/>
      <c r="Y9" s="10"/>
      <c r="Z9" s="10"/>
      <c r="AA9" s="10"/>
      <c r="AB9" s="10"/>
      <c r="AC9" s="10"/>
      <c r="AD9" s="10"/>
      <c r="AE9" s="11"/>
      <c r="AF9" s="9"/>
      <c r="AG9" s="9"/>
    </row>
    <row r="10" spans="1:33" x14ac:dyDescent="0.2">
      <c r="A10" s="209" t="s">
        <v>28</v>
      </c>
      <c r="B10" s="139">
        <f t="shared" ref="B10" si="1">B16/B9</f>
        <v>1394164.3348663037</v>
      </c>
      <c r="C10" s="139">
        <f>C16/C9</f>
        <v>1323762.7117166282</v>
      </c>
      <c r="D10" s="139">
        <f>D16/D9</f>
        <v>1335173.8848103324</v>
      </c>
      <c r="E10" s="100">
        <f t="shared" ref="E10:M10" si="2">E16/E9</f>
        <v>1415716.1729306502</v>
      </c>
      <c r="F10" s="100">
        <f>F16/F9</f>
        <v>1466717.4573489435</v>
      </c>
      <c r="G10" s="294">
        <f>G16/G9</f>
        <v>1532290.5373153205</v>
      </c>
      <c r="H10" s="100">
        <f t="shared" si="2"/>
        <v>1595479.1416465563</v>
      </c>
      <c r="I10" s="100">
        <f t="shared" si="2"/>
        <v>1635366.1201877203</v>
      </c>
      <c r="J10" s="100">
        <f t="shared" si="2"/>
        <v>1676250.2731924132</v>
      </c>
      <c r="K10" s="100">
        <f t="shared" si="2"/>
        <v>1718156.5300222235</v>
      </c>
      <c r="L10" s="100">
        <f t="shared" si="2"/>
        <v>1761110.4432727788</v>
      </c>
      <c r="M10" s="227">
        <f t="shared" si="2"/>
        <v>1805138.204354598</v>
      </c>
      <c r="N10" s="34"/>
      <c r="O10" s="34"/>
      <c r="P10" s="34"/>
      <c r="Q10" s="32"/>
      <c r="R10" s="32"/>
      <c r="S10" s="32"/>
      <c r="T10" s="32"/>
      <c r="U10" s="32"/>
      <c r="V10" s="32"/>
      <c r="W10" s="32"/>
      <c r="X10" s="32"/>
      <c r="Y10" s="10"/>
      <c r="Z10" s="10"/>
      <c r="AA10" s="10"/>
      <c r="AB10" s="10"/>
      <c r="AC10" s="10"/>
      <c r="AD10" s="10"/>
      <c r="AE10" s="11"/>
      <c r="AF10" s="9"/>
      <c r="AG10" s="9"/>
    </row>
    <row r="11" spans="1:33" x14ac:dyDescent="0.2">
      <c r="A11" s="439" t="s">
        <v>413</v>
      </c>
      <c r="B11" s="126"/>
      <c r="C11" s="118"/>
      <c r="D11" s="140">
        <f>(D9-C9)*C10</f>
        <v>83775.753872392379</v>
      </c>
      <c r="E11" s="109">
        <f t="shared" ref="E11:M11" si="3">(E9-D9)*D10</f>
        <v>0</v>
      </c>
      <c r="F11" s="109">
        <f>(F9-E9)*E10</f>
        <v>0</v>
      </c>
      <c r="G11" s="295">
        <f>(G9-F9)*F10</f>
        <v>0</v>
      </c>
      <c r="H11" s="109">
        <f t="shared" si="3"/>
        <v>0</v>
      </c>
      <c r="I11" s="109">
        <f t="shared" si="3"/>
        <v>0</v>
      </c>
      <c r="J11" s="109">
        <f t="shared" si="3"/>
        <v>0</v>
      </c>
      <c r="K11" s="109">
        <f t="shared" si="3"/>
        <v>0</v>
      </c>
      <c r="L11" s="109">
        <f t="shared" si="3"/>
        <v>0</v>
      </c>
      <c r="M11" s="110">
        <f t="shared" si="3"/>
        <v>0</v>
      </c>
      <c r="N11" s="14"/>
      <c r="O11" s="14"/>
      <c r="P11" s="14"/>
      <c r="Q11" s="521"/>
      <c r="R11" s="521"/>
      <c r="S11" s="521"/>
      <c r="T11" s="521"/>
      <c r="U11" s="521"/>
      <c r="V11" s="35"/>
      <c r="W11" s="35"/>
      <c r="X11" s="35"/>
      <c r="Y11" s="9"/>
      <c r="Z11" s="9"/>
      <c r="AA11" s="9"/>
      <c r="AB11" s="9"/>
      <c r="AC11" s="9"/>
      <c r="AD11" s="9"/>
      <c r="AE11" s="9"/>
      <c r="AF11" s="9"/>
      <c r="AG11" s="9"/>
    </row>
    <row r="12" spans="1:33" s="3" customFormat="1" x14ac:dyDescent="0.2">
      <c r="A12" s="18" t="s">
        <v>454</v>
      </c>
      <c r="B12" s="53">
        <f>VLOOKUP($A$4,pohjatiedot!$B$3:$CB$296,6)</f>
        <v>5811772.0183600029</v>
      </c>
      <c r="C12" s="78">
        <f>VLOOKUP($A$4,pohjatiedot!$B$3:$CB$296,44)</f>
        <v>5815826.2498500021</v>
      </c>
      <c r="D12" s="396">
        <f>C12*(1+D70/100)</f>
        <v>5730352.3770692516</v>
      </c>
      <c r="E12" s="397">
        <f t="shared" ref="E12:M12" si="4">D12*(1+E70/100)</f>
        <v>5692292.9412332214</v>
      </c>
      <c r="F12" s="397">
        <f t="shared" si="4"/>
        <v>5807416.9545215163</v>
      </c>
      <c r="G12" s="397">
        <f t="shared" si="4"/>
        <v>5903230.3134764731</v>
      </c>
      <c r="H12" s="397">
        <f t="shared" si="4"/>
        <v>5956608.4311013985</v>
      </c>
      <c r="I12" s="397">
        <f t="shared" si="4"/>
        <v>6016174.5154124126</v>
      </c>
      <c r="J12" s="397">
        <f t="shared" si="4"/>
        <v>6076336.2605665363</v>
      </c>
      <c r="K12" s="397">
        <f t="shared" si="4"/>
        <v>6137099.6231722021</v>
      </c>
      <c r="L12" s="397">
        <f t="shared" si="4"/>
        <v>6198470.6194039239</v>
      </c>
      <c r="M12" s="398">
        <f t="shared" si="4"/>
        <v>6260455.3255979633</v>
      </c>
      <c r="N12" s="338"/>
      <c r="O12" s="415" t="s">
        <v>393</v>
      </c>
      <c r="P12" s="415"/>
      <c r="Q12" s="286"/>
      <c r="R12" s="286"/>
      <c r="S12" s="286"/>
      <c r="T12" s="286"/>
      <c r="U12" s="286"/>
      <c r="V12" s="286"/>
      <c r="W12" s="286"/>
      <c r="X12" s="292"/>
      <c r="Y12" s="288"/>
      <c r="Z12" s="288"/>
      <c r="AA12" s="6"/>
      <c r="AB12" s="6"/>
      <c r="AC12" s="6"/>
      <c r="AD12" s="6"/>
      <c r="AE12" s="6"/>
      <c r="AF12" s="6"/>
      <c r="AG12" s="6"/>
    </row>
    <row r="13" spans="1:33" s="3" customFormat="1" x14ac:dyDescent="0.2">
      <c r="A13" s="19" t="s">
        <v>5</v>
      </c>
      <c r="B13" s="56">
        <f>VLOOKUP($A$4,pohjatiedot!$B$3:$CB$296,7)</f>
        <v>20300509.567899991</v>
      </c>
      <c r="C13" s="88">
        <f>VLOOKUP($A$4,pohjatiedot!$B$3:$CB$296,45)</f>
        <v>20498289.947320011</v>
      </c>
      <c r="D13" s="399">
        <f t="shared" ref="D13" si="5">C13*(1+D71/100)</f>
        <v>21492598.813017711</v>
      </c>
      <c r="E13" s="400">
        <f t="shared" ref="E13" si="6">D13*(1+E71/100)</f>
        <v>22128679.514158431</v>
      </c>
      <c r="F13" s="400">
        <f t="shared" ref="F13" si="7">E13*(1+F71/100)</f>
        <v>22729548.137545299</v>
      </c>
      <c r="G13" s="400">
        <f t="shared" ref="G13" si="8">F13*(1+G71/100)</f>
        <v>23281496.017460573</v>
      </c>
      <c r="H13" s="400">
        <f t="shared" ref="H13" si="9">G13*(1+H71/100)</f>
        <v>23710506.21663538</v>
      </c>
      <c r="I13" s="400">
        <f t="shared" ref="I13:M13" si="10">H13*(1+I71/100)</f>
        <v>24184716.340968087</v>
      </c>
      <c r="J13" s="400">
        <f t="shared" si="10"/>
        <v>24668410.667787451</v>
      </c>
      <c r="K13" s="400">
        <f t="shared" si="10"/>
        <v>25161778.881143201</v>
      </c>
      <c r="L13" s="400">
        <f t="shared" si="10"/>
        <v>25665014.458766066</v>
      </c>
      <c r="M13" s="401">
        <f t="shared" si="10"/>
        <v>26178314.747941386</v>
      </c>
      <c r="N13" s="338"/>
      <c r="O13" s="415" t="s">
        <v>391</v>
      </c>
      <c r="P13" s="415"/>
      <c r="Q13" s="286"/>
      <c r="R13" s="286"/>
      <c r="S13" s="286"/>
      <c r="T13" s="286"/>
      <c r="U13" s="286"/>
      <c r="V13" s="286"/>
      <c r="W13" s="286"/>
      <c r="X13" s="286"/>
      <c r="Y13" s="288"/>
      <c r="Z13" s="288"/>
      <c r="AA13" s="12"/>
      <c r="AB13" s="12"/>
      <c r="AC13" s="6"/>
      <c r="AD13" s="6"/>
      <c r="AE13" s="6"/>
      <c r="AF13" s="6"/>
      <c r="AG13" s="6"/>
    </row>
    <row r="14" spans="1:33" s="316" customFormat="1" x14ac:dyDescent="0.2">
      <c r="A14" s="516" t="s">
        <v>452</v>
      </c>
      <c r="B14" s="408">
        <f>VLOOKUP($A$4,pohjatiedot!$B$3:$CR$296,94)</f>
        <v>219524.0802600001</v>
      </c>
      <c r="C14" s="520">
        <f>VLOOKUP($A$4,pohjatiedot!$B$3:$CR$296,95)</f>
        <v>202526.95428999997</v>
      </c>
      <c r="D14" s="520">
        <f>C14</f>
        <v>202526.95428999997</v>
      </c>
      <c r="E14" s="195">
        <f t="shared" ref="E14:M14" si="11">D14</f>
        <v>202526.95428999997</v>
      </c>
      <c r="F14" s="195">
        <f t="shared" si="11"/>
        <v>202526.95428999997</v>
      </c>
      <c r="G14" s="195">
        <f t="shared" si="11"/>
        <v>202526.95428999997</v>
      </c>
      <c r="H14" s="195">
        <f t="shared" si="11"/>
        <v>202526.95428999997</v>
      </c>
      <c r="I14" s="195">
        <f t="shared" si="11"/>
        <v>202526.95428999997</v>
      </c>
      <c r="J14" s="195">
        <f t="shared" si="11"/>
        <v>202526.95428999997</v>
      </c>
      <c r="K14" s="195">
        <f t="shared" si="11"/>
        <v>202526.95428999997</v>
      </c>
      <c r="L14" s="195">
        <f t="shared" si="11"/>
        <v>202526.95428999997</v>
      </c>
      <c r="M14" s="527">
        <f t="shared" si="11"/>
        <v>202526.95428999997</v>
      </c>
      <c r="N14" s="339"/>
      <c r="O14" s="415" t="s">
        <v>392</v>
      </c>
      <c r="P14" s="416"/>
      <c r="Q14" s="313"/>
      <c r="R14" s="313"/>
      <c r="S14" s="313"/>
      <c r="T14" s="313"/>
      <c r="U14" s="313"/>
      <c r="V14" s="313"/>
      <c r="W14" s="313"/>
      <c r="X14" s="313"/>
      <c r="Y14" s="314"/>
      <c r="Z14" s="314"/>
      <c r="AA14" s="315"/>
      <c r="AB14" s="315"/>
    </row>
    <row r="15" spans="1:33" s="3" customFormat="1" x14ac:dyDescent="0.2">
      <c r="A15" s="22" t="s">
        <v>15</v>
      </c>
      <c r="B15" s="59">
        <f>B12-B13+B14</f>
        <v>-14269213.469279988</v>
      </c>
      <c r="C15" s="121">
        <f>C12-C13+C14</f>
        <v>-14479936.743180009</v>
      </c>
      <c r="D15" s="121">
        <f>D12-D13+D14</f>
        <v>-15559719.481658459</v>
      </c>
      <c r="E15" s="66">
        <f>E12-E13+E14</f>
        <v>-16233859.618635209</v>
      </c>
      <c r="F15" s="66">
        <f t="shared" ref="F15:M15" si="12">F12-F13+F14</f>
        <v>-16719604.22873378</v>
      </c>
      <c r="G15" s="66">
        <f t="shared" si="12"/>
        <v>-17175738.749694102</v>
      </c>
      <c r="H15" s="66">
        <f t="shared" si="12"/>
        <v>-17551370.831243981</v>
      </c>
      <c r="I15" s="66">
        <f t="shared" si="12"/>
        <v>-17966014.871265676</v>
      </c>
      <c r="J15" s="66">
        <f t="shared" si="12"/>
        <v>-18389547.452930916</v>
      </c>
      <c r="K15" s="66">
        <f t="shared" si="12"/>
        <v>-18822152.303681001</v>
      </c>
      <c r="L15" s="66">
        <f t="shared" si="12"/>
        <v>-19264016.885072142</v>
      </c>
      <c r="M15" s="66">
        <f t="shared" si="12"/>
        <v>-19715332.468053423</v>
      </c>
      <c r="N15" s="338"/>
      <c r="O15" s="417"/>
      <c r="P15" s="415"/>
      <c r="Q15" s="287"/>
      <c r="R15" s="289"/>
      <c r="S15" s="287"/>
      <c r="T15" s="287"/>
      <c r="U15" s="287"/>
      <c r="V15" s="287"/>
      <c r="W15" s="287"/>
      <c r="X15" s="287"/>
      <c r="Y15" s="287"/>
      <c r="Z15" s="289"/>
    </row>
    <row r="16" spans="1:33" x14ac:dyDescent="0.2">
      <c r="A16" s="20" t="s">
        <v>13</v>
      </c>
      <c r="B16" s="62">
        <f>VLOOKUP($A$4,pohjatiedot!$B$3:$CB$296,9)</f>
        <v>10219224.574570006</v>
      </c>
      <c r="C16" s="119">
        <f>VLOOKUP($A$4,pohjatiedot!$B$3:$CB$296,47)</f>
        <v>9883399.3858699929</v>
      </c>
      <c r="D16" s="422">
        <f t="shared" ref="D16" si="13">(C16+D11)*(1+D73/100)</f>
        <v>10053094.738298969</v>
      </c>
      <c r="E16" s="326">
        <f t="shared" ref="E16" si="14">(D16+E11)*(1+E73/100)</f>
        <v>10659532.043675076</v>
      </c>
      <c r="F16" s="326">
        <f t="shared" ref="F16" si="15">(E16+F11)*(1+F73/100)</f>
        <v>11043542.508428037</v>
      </c>
      <c r="G16" s="326">
        <f t="shared" ref="G16:M16" si="16">(F16+G11)*(1+G73/100)</f>
        <v>11537270.248824703</v>
      </c>
      <c r="H16" s="326">
        <f t="shared" si="16"/>
        <v>12013044.253206942</v>
      </c>
      <c r="I16" s="326">
        <f t="shared" si="16"/>
        <v>12313370.359537115</v>
      </c>
      <c r="J16" s="326">
        <f t="shared" si="16"/>
        <v>12621204.618525542</v>
      </c>
      <c r="K16" s="326">
        <f t="shared" si="16"/>
        <v>12936734.73398868</v>
      </c>
      <c r="L16" s="326">
        <f t="shared" si="16"/>
        <v>13260153.102338396</v>
      </c>
      <c r="M16" s="423">
        <f t="shared" si="16"/>
        <v>13591656.929896854</v>
      </c>
      <c r="N16" s="340"/>
      <c r="O16" s="417"/>
      <c r="P16" s="417"/>
      <c r="Q16" s="290"/>
      <c r="R16" s="290"/>
      <c r="S16" s="290"/>
      <c r="T16" s="290"/>
      <c r="U16" s="287"/>
      <c r="V16" s="290"/>
      <c r="W16" s="290"/>
      <c r="X16" s="290"/>
      <c r="Y16" s="291"/>
      <c r="Z16" s="291"/>
    </row>
    <row r="17" spans="1:26" x14ac:dyDescent="0.2">
      <c r="A17" s="21" t="s">
        <v>358</v>
      </c>
      <c r="B17" s="65">
        <f>VLOOKUP($A$4,pohjatiedot!$B$3:$CB$296,10)</f>
        <v>2052377.4093800003</v>
      </c>
      <c r="C17" s="120">
        <f>VLOOKUP($A$4,pohjatiedot!$B$3:$CB$296,48)</f>
        <v>1755313.4617399992</v>
      </c>
      <c r="D17" s="424">
        <f t="shared" ref="D17:M18" si="17">C17*(1+D74/100)</f>
        <v>1625463.0896226317</v>
      </c>
      <c r="E17" s="327">
        <f t="shared" si="17"/>
        <v>1726744.2350969804</v>
      </c>
      <c r="F17" s="327">
        <f t="shared" si="17"/>
        <v>1826039.4757581064</v>
      </c>
      <c r="G17" s="327">
        <f t="shared" ref="E17:M18" si="18">F17*(1+G74/100)</f>
        <v>1900510.9062539511</v>
      </c>
      <c r="H17" s="327">
        <f t="shared" si="17"/>
        <v>1967038.7174969057</v>
      </c>
      <c r="I17" s="327">
        <f t="shared" si="17"/>
        <v>2016214.6854343282</v>
      </c>
      <c r="J17" s="327">
        <f t="shared" si="17"/>
        <v>2066620.0525701861</v>
      </c>
      <c r="K17" s="327">
        <f t="shared" si="17"/>
        <v>2118285.5538844406</v>
      </c>
      <c r="L17" s="327">
        <f t="shared" si="17"/>
        <v>2171242.6927315514</v>
      </c>
      <c r="M17" s="425">
        <f t="shared" si="17"/>
        <v>2225523.76004984</v>
      </c>
      <c r="N17" s="340"/>
      <c r="O17" s="417"/>
      <c r="P17" s="417"/>
      <c r="Q17" s="290"/>
      <c r="R17" s="290"/>
      <c r="S17" s="290"/>
      <c r="T17" s="290"/>
      <c r="U17" s="290"/>
      <c r="V17" s="290"/>
      <c r="W17" s="290"/>
      <c r="X17" s="290"/>
      <c r="Y17" s="291"/>
      <c r="Z17" s="291"/>
    </row>
    <row r="18" spans="1:26" x14ac:dyDescent="0.2">
      <c r="A18" s="21" t="s">
        <v>2</v>
      </c>
      <c r="B18" s="65">
        <f>VLOOKUP($A$4,pohjatiedot!$B$3:$CB$296,11)</f>
        <v>2182937.7717000004</v>
      </c>
      <c r="C18" s="120">
        <f>VLOOKUP($A$4,pohjatiedot!$B$3:$CB$296,49)</f>
        <v>2329363.8215799993</v>
      </c>
      <c r="D18" s="433">
        <f t="shared" si="17"/>
        <v>2347332.0898391251</v>
      </c>
      <c r="E18" s="434">
        <f t="shared" si="18"/>
        <v>2374278.5041357479</v>
      </c>
      <c r="F18" s="434">
        <f t="shared" si="18"/>
        <v>2423181.2560073962</v>
      </c>
      <c r="G18" s="434">
        <f t="shared" si="18"/>
        <v>2506016.5295859026</v>
      </c>
      <c r="H18" s="434">
        <f t="shared" si="18"/>
        <v>2572883.5576552995</v>
      </c>
      <c r="I18" s="434">
        <f t="shared" si="18"/>
        <v>2637205.6465966818</v>
      </c>
      <c r="J18" s="434">
        <f t="shared" si="18"/>
        <v>2703135.7877615988</v>
      </c>
      <c r="K18" s="434">
        <f t="shared" si="18"/>
        <v>2770714.1824556384</v>
      </c>
      <c r="L18" s="434">
        <f t="shared" si="18"/>
        <v>2839982.0370170292</v>
      </c>
      <c r="M18" s="435">
        <f t="shared" si="18"/>
        <v>2910981.5879424545</v>
      </c>
      <c r="N18" s="340"/>
      <c r="O18" s="417"/>
      <c r="P18" s="417"/>
      <c r="Q18" s="290"/>
      <c r="R18" s="290"/>
      <c r="S18" s="290"/>
      <c r="T18" s="290"/>
      <c r="U18" s="290"/>
      <c r="V18" s="30"/>
      <c r="W18" s="30"/>
      <c r="X18" s="30"/>
    </row>
    <row r="19" spans="1:26" s="3" customFormat="1" x14ac:dyDescent="0.2">
      <c r="A19" s="22" t="s">
        <v>6</v>
      </c>
      <c r="B19" s="59">
        <f>VLOOKUP($A$4,pohjatiedot!$B$3:$CB$296,12)</f>
        <v>14454539.581440002</v>
      </c>
      <c r="C19" s="121">
        <f>VLOOKUP($A$4,pohjatiedot!$B$3:$CB$296,50)</f>
        <v>13968068.158800015</v>
      </c>
      <c r="D19" s="121">
        <f t="shared" ref="D19:M19" si="19">SUM(D16:D18)</f>
        <v>14025889.917760726</v>
      </c>
      <c r="E19" s="66">
        <f t="shared" si="19"/>
        <v>14760554.782907804</v>
      </c>
      <c r="F19" s="66">
        <f t="shared" si="19"/>
        <v>15292763.240193538</v>
      </c>
      <c r="G19" s="296">
        <f t="shared" si="19"/>
        <v>15943797.684664555</v>
      </c>
      <c r="H19" s="66">
        <f t="shared" si="19"/>
        <v>16552966.528359147</v>
      </c>
      <c r="I19" s="66">
        <f t="shared" si="19"/>
        <v>16966790.691568125</v>
      </c>
      <c r="J19" s="66">
        <f t="shared" si="19"/>
        <v>17390960.458857328</v>
      </c>
      <c r="K19" s="66">
        <f t="shared" si="19"/>
        <v>17825734.470328759</v>
      </c>
      <c r="L19" s="66">
        <f t="shared" si="19"/>
        <v>18271377.832086977</v>
      </c>
      <c r="M19" s="67">
        <f t="shared" si="19"/>
        <v>18728162.277889147</v>
      </c>
      <c r="N19" s="337"/>
      <c r="O19" s="426"/>
      <c r="P19" s="426"/>
      <c r="Q19" s="287"/>
      <c r="R19" s="287"/>
      <c r="S19" s="287"/>
      <c r="T19" s="287"/>
      <c r="U19" s="287"/>
      <c r="V19" s="15"/>
      <c r="W19" s="15"/>
      <c r="X19" s="15"/>
    </row>
    <row r="20" spans="1:26" s="3" customFormat="1" x14ac:dyDescent="0.2">
      <c r="A20" s="18" t="s">
        <v>412</v>
      </c>
      <c r="B20" s="53">
        <f>VLOOKUP($A$4,pohjatiedot!$B$3:$CB$296,13)</f>
        <v>3625507.6442200001</v>
      </c>
      <c r="C20" s="78">
        <f>VLOOKUP($A$4,pohjatiedot!$B$3:$CB$296,51)</f>
        <v>3391173.7785399999</v>
      </c>
      <c r="D20" s="475">
        <f>VLOOKUP($A$4,pohjatiedot!$B$3:$CN$296,87)</f>
        <v>4040117.5635907287</v>
      </c>
      <c r="E20" s="476">
        <f>VLOOKUP($A$4,pohjatiedot!$B$3:$CN$296,88)</f>
        <v>4226184.6252720989</v>
      </c>
      <c r="F20" s="476">
        <f>VLOOKUP($A$4,pohjatiedot!$B$3:$CN$296,89)</f>
        <v>4337796.8127647014</v>
      </c>
      <c r="G20" s="476">
        <f>VLOOKUP($A$4,pohjatiedot!$B$3:$CN$296,90)</f>
        <v>4691384.9723197985</v>
      </c>
      <c r="H20" s="476">
        <f>VLOOKUP($A$4,pohjatiedot!$B$3:$CN$296,91)</f>
        <v>4799886.2935205176</v>
      </c>
      <c r="I20" s="477">
        <f>(H20)*(1+I76/100)</f>
        <v>4871884.5879233247</v>
      </c>
      <c r="J20" s="477">
        <f>(I20)*(1+J76/100)</f>
        <v>4944962.8567421744</v>
      </c>
      <c r="K20" s="477">
        <f>(J20)*(1+K76/100)</f>
        <v>5019137.2995933061</v>
      </c>
      <c r="L20" s="477">
        <f>(K20)*(1+L76/100)</f>
        <v>5094424.3590872055</v>
      </c>
      <c r="M20" s="478">
        <f>(L20)*(1+M76/100)</f>
        <v>5170840.7244735127</v>
      </c>
      <c r="N20" s="421"/>
      <c r="O20" s="474" t="s">
        <v>465</v>
      </c>
      <c r="P20" s="341"/>
      <c r="Q20" s="287"/>
      <c r="R20" s="287"/>
      <c r="S20" s="287"/>
      <c r="T20" s="287"/>
      <c r="U20" s="287"/>
      <c r="V20" s="15"/>
      <c r="W20" s="15"/>
      <c r="X20" s="15"/>
    </row>
    <row r="21" spans="1:26" s="3" customFormat="1" ht="9" customHeight="1" x14ac:dyDescent="0.2">
      <c r="A21" s="79"/>
      <c r="B21" s="133"/>
      <c r="C21" s="134"/>
      <c r="D21" s="80"/>
      <c r="E21" s="436"/>
      <c r="F21" s="437"/>
      <c r="G21" s="296"/>
      <c r="H21" s="437"/>
      <c r="I21" s="336"/>
      <c r="J21" s="66"/>
      <c r="K21" s="66"/>
      <c r="L21" s="66"/>
      <c r="M21" s="67"/>
      <c r="N21" s="421"/>
      <c r="O21" s="341"/>
      <c r="P21" s="17"/>
      <c r="Q21" s="290"/>
      <c r="R21" s="290"/>
      <c r="S21" s="290"/>
      <c r="T21" s="290"/>
      <c r="U21" s="290"/>
      <c r="V21" s="30"/>
      <c r="W21" s="30"/>
      <c r="X21" s="30"/>
      <c r="Y21" s="30"/>
      <c r="Z21" s="30"/>
    </row>
    <row r="22" spans="1:26" x14ac:dyDescent="0.2">
      <c r="A22" s="228" t="s">
        <v>8</v>
      </c>
      <c r="B22" s="65">
        <f>VLOOKUP($A$4,pohjatiedot!$B$3:$CB$296,14)</f>
        <v>320893.90259000013</v>
      </c>
      <c r="C22" s="120">
        <f>VLOOKUP($A$4,pohjatiedot!$B$3:$CB$296,52)</f>
        <v>359065.81443000038</v>
      </c>
      <c r="D22" s="141">
        <f>C22</f>
        <v>359065.81443000038</v>
      </c>
      <c r="E22" s="90">
        <f t="shared" ref="E22:M22" si="20">D22</f>
        <v>359065.81443000038</v>
      </c>
      <c r="F22" s="90">
        <f t="shared" si="20"/>
        <v>359065.81443000038</v>
      </c>
      <c r="G22" s="90">
        <f t="shared" si="20"/>
        <v>359065.81443000038</v>
      </c>
      <c r="H22" s="90">
        <f t="shared" si="20"/>
        <v>359065.81443000038</v>
      </c>
      <c r="I22" s="90">
        <f t="shared" si="20"/>
        <v>359065.81443000038</v>
      </c>
      <c r="J22" s="90">
        <f t="shared" si="20"/>
        <v>359065.81443000038</v>
      </c>
      <c r="K22" s="90">
        <f t="shared" si="20"/>
        <v>359065.81443000038</v>
      </c>
      <c r="L22" s="90">
        <f t="shared" si="20"/>
        <v>359065.81443000038</v>
      </c>
      <c r="M22" s="91">
        <f t="shared" si="20"/>
        <v>359065.81443000038</v>
      </c>
      <c r="N22" s="84"/>
      <c r="O22" s="81" t="s">
        <v>405</v>
      </c>
      <c r="P22" s="23"/>
      <c r="Q22" s="290"/>
      <c r="R22" s="290"/>
      <c r="S22" s="290"/>
      <c r="T22" s="290"/>
      <c r="U22" s="290"/>
      <c r="V22" s="85"/>
      <c r="W22" s="85"/>
      <c r="X22" s="85"/>
      <c r="Y22" s="85"/>
      <c r="Z22" s="85"/>
    </row>
    <row r="23" spans="1:26" x14ac:dyDescent="0.2">
      <c r="A23" s="228" t="s">
        <v>10</v>
      </c>
      <c r="B23" s="65">
        <f>VLOOKUP($A$4,pohjatiedot!$B$3:$CB$296,15)</f>
        <v>361785.20225999987</v>
      </c>
      <c r="C23" s="65">
        <f>VLOOKUP($A$4,pohjatiedot!$B$3:$CB$296,53)</f>
        <v>452488.45344000019</v>
      </c>
      <c r="D23" s="328">
        <f>($H$79/100)*C61</f>
        <v>483474.65361125034</v>
      </c>
      <c r="E23" s="328">
        <f>($H$79/100)*D61</f>
        <v>495169.25002743298</v>
      </c>
      <c r="F23" s="328">
        <f t="shared" ref="F23:M23" si="21">($H$79/100)*E61</f>
        <v>500962.07739394542</v>
      </c>
      <c r="G23" s="328">
        <f t="shared" si="21"/>
        <v>503491.32212491264</v>
      </c>
      <c r="H23" s="328">
        <f t="shared" si="21"/>
        <v>493587.27749866695</v>
      </c>
      <c r="I23" s="328">
        <f t="shared" si="21"/>
        <v>475947.1355186578</v>
      </c>
      <c r="J23" s="328">
        <f>($H$79/100)*I61</f>
        <v>456499.67773918598</v>
      </c>
      <c r="K23" s="328">
        <f t="shared" si="21"/>
        <v>435213.8476488989</v>
      </c>
      <c r="L23" s="328">
        <f t="shared" si="21"/>
        <v>411990.07818135677</v>
      </c>
      <c r="M23" s="329">
        <f t="shared" si="21"/>
        <v>386758.76462025288</v>
      </c>
      <c r="N23" s="84"/>
      <c r="O23" s="81" t="s">
        <v>474</v>
      </c>
      <c r="P23" s="83"/>
      <c r="Q23" s="290"/>
      <c r="R23" s="290"/>
      <c r="S23" s="290"/>
      <c r="T23" s="290"/>
      <c r="U23" s="290"/>
      <c r="V23" s="85"/>
      <c r="W23" s="85"/>
      <c r="X23" s="85"/>
      <c r="Y23" s="85"/>
      <c r="Z23" s="85"/>
    </row>
    <row r="24" spans="1:26" x14ac:dyDescent="0.2">
      <c r="A24" s="228" t="s">
        <v>9</v>
      </c>
      <c r="B24" s="65">
        <f>VLOOKUP($A$4,pohjatiedot!$B$3:$CB$296,16)</f>
        <v>527763.40029000002</v>
      </c>
      <c r="C24" s="120">
        <f>VLOOKUP($A$4,pohjatiedot!$B$3:$CB$296,54)</f>
        <v>525089.08888000005</v>
      </c>
      <c r="D24" s="142">
        <f>C24</f>
        <v>525089.08888000005</v>
      </c>
      <c r="E24" s="92">
        <f t="shared" ref="E24:M24" si="22">D24</f>
        <v>525089.08888000005</v>
      </c>
      <c r="F24" s="92">
        <f t="shared" si="22"/>
        <v>525089.08888000005</v>
      </c>
      <c r="G24" s="92">
        <f t="shared" si="22"/>
        <v>525089.08888000005</v>
      </c>
      <c r="H24" s="92">
        <f t="shared" si="22"/>
        <v>525089.08888000005</v>
      </c>
      <c r="I24" s="92">
        <f t="shared" si="22"/>
        <v>525089.08888000005</v>
      </c>
      <c r="J24" s="92">
        <f t="shared" si="22"/>
        <v>525089.08888000005</v>
      </c>
      <c r="K24" s="92">
        <f t="shared" si="22"/>
        <v>525089.08888000005</v>
      </c>
      <c r="L24" s="92">
        <f t="shared" si="22"/>
        <v>525089.08888000005</v>
      </c>
      <c r="M24" s="93">
        <f t="shared" si="22"/>
        <v>525089.08888000005</v>
      </c>
      <c r="N24" s="23"/>
      <c r="O24" s="81" t="s">
        <v>405</v>
      </c>
      <c r="P24" s="23"/>
      <c r="Q24" s="290"/>
      <c r="R24" s="290"/>
      <c r="S24" s="290"/>
      <c r="T24" s="290"/>
      <c r="U24" s="290"/>
      <c r="V24" s="30"/>
      <c r="W24" s="30"/>
      <c r="X24" s="30"/>
    </row>
    <row r="25" spans="1:26" x14ac:dyDescent="0.2">
      <c r="A25" s="228" t="s">
        <v>11</v>
      </c>
      <c r="B25" s="128">
        <f>VLOOKUP($A$4,pohjatiedot!$B$3:$CB$296,17)</f>
        <v>63896.792419999998</v>
      </c>
      <c r="C25" s="122">
        <f>VLOOKUP($A$4,pohjatiedot!$B$3:$CB$296,55)</f>
        <v>48718.75119000001</v>
      </c>
      <c r="D25" s="143">
        <f>C25</f>
        <v>48718.75119000001</v>
      </c>
      <c r="E25" s="94">
        <f t="shared" ref="E25:M25" si="23">D25</f>
        <v>48718.75119000001</v>
      </c>
      <c r="F25" s="94">
        <f t="shared" si="23"/>
        <v>48718.75119000001</v>
      </c>
      <c r="G25" s="94">
        <f t="shared" si="23"/>
        <v>48718.75119000001</v>
      </c>
      <c r="H25" s="94">
        <f t="shared" si="23"/>
        <v>48718.75119000001</v>
      </c>
      <c r="I25" s="94">
        <f t="shared" si="23"/>
        <v>48718.75119000001</v>
      </c>
      <c r="J25" s="94">
        <f t="shared" si="23"/>
        <v>48718.75119000001</v>
      </c>
      <c r="K25" s="94">
        <f t="shared" si="23"/>
        <v>48718.75119000001</v>
      </c>
      <c r="L25" s="94">
        <f t="shared" si="23"/>
        <v>48718.75119000001</v>
      </c>
      <c r="M25" s="95">
        <f t="shared" si="23"/>
        <v>48718.75119000001</v>
      </c>
      <c r="N25" s="23"/>
      <c r="O25" s="81" t="s">
        <v>405</v>
      </c>
      <c r="P25" s="23"/>
      <c r="Q25" s="290"/>
      <c r="R25" s="290"/>
      <c r="S25" s="290"/>
      <c r="T25" s="290"/>
      <c r="U25" s="290"/>
      <c r="V25" s="30"/>
      <c r="W25" s="30"/>
      <c r="X25" s="30"/>
    </row>
    <row r="26" spans="1:26" s="309" customFormat="1" x14ac:dyDescent="0.2">
      <c r="A26" s="353" t="s">
        <v>12</v>
      </c>
      <c r="B26" s="354">
        <f>VLOOKUP($A$4,pohjatiedot!$B$3:$CB$296,18)</f>
        <v>4233801.8336499985</v>
      </c>
      <c r="C26" s="355">
        <f>VLOOKUP($A$4,pohjatiedot!$B$3:$CB$296,56)</f>
        <v>3262503.9811799959</v>
      </c>
      <c r="D26" s="355">
        <f>D15+D19+D20+D22-D23+D24-D25</f>
        <v>2858249.498201746</v>
      </c>
      <c r="E26" s="356">
        <f>E15+E19+E20+E22-E23+E24-E25</f>
        <v>3093146.6916372613</v>
      </c>
      <c r="F26" s="356">
        <f t="shared" ref="F26:M26" si="24">F15+F19+F20+F22-F23+F24-F25</f>
        <v>3245429.8989505148</v>
      </c>
      <c r="G26" s="356">
        <f t="shared" si="24"/>
        <v>3791388.7372853397</v>
      </c>
      <c r="H26" s="356">
        <f t="shared" si="24"/>
        <v>4143330.8652570168</v>
      </c>
      <c r="I26" s="356">
        <f t="shared" si="24"/>
        <v>4232149.4248271156</v>
      </c>
      <c r="J26" s="356">
        <f t="shared" si="24"/>
        <v>4325312.3370493995</v>
      </c>
      <c r="K26" s="356">
        <f t="shared" si="24"/>
        <v>4422941.7707121652</v>
      </c>
      <c r="L26" s="356">
        <f t="shared" si="24"/>
        <v>4525231.3800406838</v>
      </c>
      <c r="M26" s="357">
        <f t="shared" si="24"/>
        <v>4632347.9218089841</v>
      </c>
      <c r="N26" s="308"/>
      <c r="O26" s="308"/>
      <c r="P26" s="308"/>
      <c r="Q26" s="522"/>
      <c r="R26" s="522"/>
      <c r="S26" s="522"/>
      <c r="T26" s="522"/>
      <c r="U26" s="522"/>
    </row>
    <row r="27" spans="1:26" s="3" customFormat="1" x14ac:dyDescent="0.2">
      <c r="A27" s="358" t="s">
        <v>360</v>
      </c>
      <c r="B27" s="359">
        <f>1000*B26/B8</f>
        <v>759.65661943261705</v>
      </c>
      <c r="C27" s="360">
        <f>1000*C26/C8</f>
        <v>582.03737294072687</v>
      </c>
      <c r="D27" s="360">
        <f>1000*D26/D8</f>
        <v>507.25354481400018</v>
      </c>
      <c r="E27" s="361">
        <f t="shared" ref="E27:M27" si="25">1000*E26/E8</f>
        <v>546.57688604032637</v>
      </c>
      <c r="F27" s="361">
        <f t="shared" si="25"/>
        <v>571.05626719618067</v>
      </c>
      <c r="G27" s="361">
        <f>1000*G26/G8</f>
        <v>664.34080180029662</v>
      </c>
      <c r="H27" s="361">
        <f t="shared" si="25"/>
        <v>723.03937264300987</v>
      </c>
      <c r="I27" s="361">
        <f t="shared" si="25"/>
        <v>735.57558076925238</v>
      </c>
      <c r="J27" s="361">
        <f>1000*J26/J8</f>
        <v>748.81813170557621</v>
      </c>
      <c r="K27" s="361">
        <f t="shared" si="25"/>
        <v>762.78423176572119</v>
      </c>
      <c r="L27" s="361">
        <f t="shared" si="25"/>
        <v>777.49619564946636</v>
      </c>
      <c r="M27" s="362">
        <f t="shared" si="25"/>
        <v>792.98331258841324</v>
      </c>
      <c r="N27" s="17"/>
      <c r="O27" s="17"/>
      <c r="P27" s="17"/>
      <c r="Q27" s="287"/>
      <c r="R27" s="287"/>
      <c r="S27" s="287"/>
      <c r="T27" s="287"/>
      <c r="U27" s="287"/>
      <c r="V27" s="15"/>
      <c r="W27" s="15"/>
      <c r="X27" s="15"/>
    </row>
    <row r="28" spans="1:26" x14ac:dyDescent="0.2">
      <c r="A28" s="228" t="s">
        <v>16</v>
      </c>
      <c r="B28" s="62">
        <f>VLOOKUP($A$4,pohjatiedot!$B$3:$CB$296,20)</f>
        <v>2495014.7214300004</v>
      </c>
      <c r="C28" s="119">
        <f>VLOOKUP($A$4,pohjatiedot!$B$3:$CB$296,58)</f>
        <v>2572895.3540199995</v>
      </c>
      <c r="D28" s="246">
        <f>C28*$O$28</f>
        <v>2585759.8307900992</v>
      </c>
      <c r="E28" s="240">
        <f t="shared" ref="E28:M28" si="26">D28*$O$28</f>
        <v>2598688.6299440493</v>
      </c>
      <c r="F28" s="240">
        <f t="shared" si="26"/>
        <v>2611682.0730937691</v>
      </c>
      <c r="G28" s="240">
        <f t="shared" si="26"/>
        <v>2624740.4834592375</v>
      </c>
      <c r="H28" s="240">
        <f t="shared" si="26"/>
        <v>2637864.1858765334</v>
      </c>
      <c r="I28" s="240">
        <f t="shared" si="26"/>
        <v>2651053.5068059159</v>
      </c>
      <c r="J28" s="240">
        <f t="shared" si="26"/>
        <v>2664308.7743399451</v>
      </c>
      <c r="K28" s="240">
        <f t="shared" si="26"/>
        <v>2677630.3182116444</v>
      </c>
      <c r="L28" s="240">
        <f t="shared" si="26"/>
        <v>2691018.4698027023</v>
      </c>
      <c r="M28" s="241">
        <f t="shared" si="26"/>
        <v>2704473.5621517156</v>
      </c>
      <c r="N28" s="453"/>
      <c r="O28" s="564">
        <v>1.0049999999999999</v>
      </c>
      <c r="P28" s="81" t="s">
        <v>475</v>
      </c>
      <c r="Q28" s="76"/>
      <c r="R28" s="290"/>
      <c r="S28" s="290"/>
      <c r="T28" s="290"/>
      <c r="U28" s="290"/>
      <c r="V28" s="30"/>
      <c r="W28" s="30"/>
      <c r="X28" s="30"/>
    </row>
    <row r="29" spans="1:26" x14ac:dyDescent="0.2">
      <c r="A29" s="229" t="s">
        <v>18</v>
      </c>
      <c r="B29" s="65">
        <f>VLOOKUP($A$4,pohjatiedot!$B$3:$CB$296,21)</f>
        <v>11813.032939999999</v>
      </c>
      <c r="C29" s="120">
        <f>VLOOKUP($A$4,pohjatiedot!$B$3:$CB$296,59)</f>
        <v>380666.79035999993</v>
      </c>
      <c r="D29" s="247">
        <v>0</v>
      </c>
      <c r="E29" s="242">
        <v>0</v>
      </c>
      <c r="F29" s="242">
        <v>0</v>
      </c>
      <c r="G29" s="242">
        <v>0</v>
      </c>
      <c r="H29" s="242">
        <v>0</v>
      </c>
      <c r="I29" s="242">
        <v>0</v>
      </c>
      <c r="J29" s="242">
        <v>0</v>
      </c>
      <c r="K29" s="242">
        <v>0</v>
      </c>
      <c r="L29" s="242">
        <v>0</v>
      </c>
      <c r="M29" s="243">
        <v>0</v>
      </c>
      <c r="N29" s="23"/>
      <c r="O29" s="81" t="s">
        <v>403</v>
      </c>
      <c r="P29" s="23"/>
      <c r="Q29" s="290"/>
      <c r="R29" s="290"/>
      <c r="S29" s="290"/>
      <c r="T29" s="290"/>
      <c r="U29" s="290"/>
      <c r="V29" s="30"/>
      <c r="W29" s="30"/>
      <c r="X29" s="30"/>
    </row>
    <row r="30" spans="1:26" x14ac:dyDescent="0.2">
      <c r="A30" s="229" t="s">
        <v>19</v>
      </c>
      <c r="B30" s="65">
        <f>VLOOKUP($A$4,pohjatiedot!$B$3:$CB$296,22)</f>
        <v>29108.376089999998</v>
      </c>
      <c r="C30" s="120">
        <f>VLOOKUP($A$4,pohjatiedot!$B$3:$CB$296,60)</f>
        <v>20164.93303</v>
      </c>
      <c r="D30" s="247">
        <v>0</v>
      </c>
      <c r="E30" s="242">
        <v>0</v>
      </c>
      <c r="F30" s="242">
        <v>0</v>
      </c>
      <c r="G30" s="242">
        <v>0</v>
      </c>
      <c r="H30" s="242">
        <v>0</v>
      </c>
      <c r="I30" s="242">
        <v>0</v>
      </c>
      <c r="J30" s="242">
        <v>0</v>
      </c>
      <c r="K30" s="242">
        <v>0</v>
      </c>
      <c r="L30" s="242">
        <v>0</v>
      </c>
      <c r="M30" s="243">
        <v>0</v>
      </c>
      <c r="N30" s="23"/>
      <c r="O30" s="81" t="s">
        <v>403</v>
      </c>
      <c r="P30" s="23"/>
      <c r="Q30" s="290"/>
      <c r="R30" s="290"/>
      <c r="S30" s="290"/>
      <c r="T30" s="290"/>
      <c r="U30" s="290"/>
      <c r="V30" s="30"/>
      <c r="W30" s="30"/>
      <c r="X30" s="30"/>
    </row>
    <row r="31" spans="1:26" s="3" customFormat="1" x14ac:dyDescent="0.2">
      <c r="A31" s="363" t="s">
        <v>354</v>
      </c>
      <c r="B31" s="364">
        <f>VLOOKUP($A$4,pohjatiedot!$B$3:$CB$296,23)</f>
        <v>1721491.7690700011</v>
      </c>
      <c r="C31" s="365">
        <f>VLOOKUP($A$4,pohjatiedot!$B$3:$CB$296,61)</f>
        <v>1050110.4844900002</v>
      </c>
      <c r="D31" s="365">
        <f>D26-D28+D29-D30</f>
        <v>272489.66741164681</v>
      </c>
      <c r="E31" s="366">
        <f t="shared" ref="E31:M31" si="27">E26-E28+E29-E30</f>
        <v>494458.06169321202</v>
      </c>
      <c r="F31" s="366">
        <f t="shared" si="27"/>
        <v>633747.82585674571</v>
      </c>
      <c r="G31" s="366">
        <f t="shared" si="27"/>
        <v>1166648.2538261022</v>
      </c>
      <c r="H31" s="366">
        <f t="shared" si="27"/>
        <v>1505466.6793804835</v>
      </c>
      <c r="I31" s="366">
        <f t="shared" si="27"/>
        <v>1581095.9180211998</v>
      </c>
      <c r="J31" s="366">
        <f t="shared" si="27"/>
        <v>1661003.5627094544</v>
      </c>
      <c r="K31" s="366">
        <f t="shared" si="27"/>
        <v>1745311.4525005207</v>
      </c>
      <c r="L31" s="366">
        <f t="shared" si="27"/>
        <v>1834212.9102379815</v>
      </c>
      <c r="M31" s="367">
        <f t="shared" si="27"/>
        <v>1927874.3596572685</v>
      </c>
      <c r="N31" s="17"/>
      <c r="O31" s="17"/>
      <c r="P31" s="17"/>
      <c r="Q31" s="287"/>
      <c r="R31" s="287"/>
      <c r="S31" s="287"/>
      <c r="T31" s="287"/>
      <c r="U31" s="287"/>
      <c r="V31" s="15"/>
      <c r="W31" s="15"/>
      <c r="X31" s="15"/>
    </row>
    <row r="32" spans="1:26" x14ac:dyDescent="0.2">
      <c r="A32" s="229" t="s">
        <v>25</v>
      </c>
      <c r="B32" s="65">
        <f>VLOOKUP($A$4,pohjatiedot!$B$3:$CB$296,24)</f>
        <v>-3015.2443299999977</v>
      </c>
      <c r="C32" s="120">
        <f>VLOOKUP($A$4,pohjatiedot!$B$3:$CB$296,62)</f>
        <v>14741.796169999991</v>
      </c>
      <c r="D32" s="142">
        <f t="shared" ref="D32:M32" si="28">C32</f>
        <v>14741.796169999991</v>
      </c>
      <c r="E32" s="92">
        <f t="shared" si="28"/>
        <v>14741.796169999991</v>
      </c>
      <c r="F32" s="92">
        <f t="shared" si="28"/>
        <v>14741.796169999991</v>
      </c>
      <c r="G32" s="92">
        <f t="shared" si="28"/>
        <v>14741.796169999991</v>
      </c>
      <c r="H32" s="92">
        <f t="shared" si="28"/>
        <v>14741.796169999991</v>
      </c>
      <c r="I32" s="92">
        <f t="shared" si="28"/>
        <v>14741.796169999991</v>
      </c>
      <c r="J32" s="92">
        <f t="shared" si="28"/>
        <v>14741.796169999991</v>
      </c>
      <c r="K32" s="92">
        <f t="shared" si="28"/>
        <v>14741.796169999991</v>
      </c>
      <c r="L32" s="92">
        <f t="shared" si="28"/>
        <v>14741.796169999991</v>
      </c>
      <c r="M32" s="93">
        <f t="shared" si="28"/>
        <v>14741.796169999991</v>
      </c>
      <c r="N32" s="23"/>
      <c r="O32" s="81" t="s">
        <v>405</v>
      </c>
      <c r="P32" s="23"/>
      <c r="Q32" s="290"/>
      <c r="R32" s="290"/>
      <c r="S32" s="290"/>
      <c r="T32" s="290"/>
      <c r="U32" s="290"/>
      <c r="V32" s="30"/>
      <c r="W32" s="30"/>
      <c r="X32" s="30"/>
    </row>
    <row r="33" spans="1:24" x14ac:dyDescent="0.2">
      <c r="A33" s="229" t="s">
        <v>26</v>
      </c>
      <c r="B33" s="65">
        <f>VLOOKUP($A$4,pohjatiedot!$B$3:$CB$296,25)</f>
        <v>100840.72287000003</v>
      </c>
      <c r="C33" s="120">
        <f>VLOOKUP($A$4,pohjatiedot!$B$3:$CB$296,63)</f>
        <v>4516.707559999998</v>
      </c>
      <c r="D33" s="142">
        <f t="shared" ref="D33:M33" si="29">C33</f>
        <v>4516.707559999998</v>
      </c>
      <c r="E33" s="92">
        <f t="shared" si="29"/>
        <v>4516.707559999998</v>
      </c>
      <c r="F33" s="92">
        <f t="shared" si="29"/>
        <v>4516.707559999998</v>
      </c>
      <c r="G33" s="92">
        <f t="shared" si="29"/>
        <v>4516.707559999998</v>
      </c>
      <c r="H33" s="92">
        <f t="shared" si="29"/>
        <v>4516.707559999998</v>
      </c>
      <c r="I33" s="92">
        <f t="shared" si="29"/>
        <v>4516.707559999998</v>
      </c>
      <c r="J33" s="92">
        <f t="shared" si="29"/>
        <v>4516.707559999998</v>
      </c>
      <c r="K33" s="92">
        <f t="shared" si="29"/>
        <v>4516.707559999998</v>
      </c>
      <c r="L33" s="92">
        <f t="shared" si="29"/>
        <v>4516.707559999998</v>
      </c>
      <c r="M33" s="93">
        <f t="shared" si="29"/>
        <v>4516.707559999998</v>
      </c>
      <c r="N33" s="23"/>
      <c r="O33" s="81" t="s">
        <v>405</v>
      </c>
      <c r="P33" s="23"/>
      <c r="Q33" s="290"/>
      <c r="R33" s="290"/>
      <c r="S33" s="290"/>
      <c r="T33" s="290"/>
      <c r="U33" s="290"/>
      <c r="V33" s="30"/>
      <c r="W33" s="30"/>
      <c r="X33" s="30"/>
    </row>
    <row r="34" spans="1:24" x14ac:dyDescent="0.2">
      <c r="A34" s="229" t="s">
        <v>27</v>
      </c>
      <c r="B34" s="65">
        <f>VLOOKUP($A$4,pohjatiedot!$B$3:$CB$296,26)</f>
        <v>32535.747809999997</v>
      </c>
      <c r="C34" s="120">
        <f>VLOOKUP($A$4,pohjatiedot!$B$3:$CB$296,64)</f>
        <v>23345.161309999996</v>
      </c>
      <c r="D34" s="142">
        <f t="shared" ref="D34:M34" si="30">C34</f>
        <v>23345.161309999996</v>
      </c>
      <c r="E34" s="92">
        <f t="shared" si="30"/>
        <v>23345.161309999996</v>
      </c>
      <c r="F34" s="92">
        <f t="shared" si="30"/>
        <v>23345.161309999996</v>
      </c>
      <c r="G34" s="92">
        <f t="shared" si="30"/>
        <v>23345.161309999996</v>
      </c>
      <c r="H34" s="92">
        <f t="shared" si="30"/>
        <v>23345.161309999996</v>
      </c>
      <c r="I34" s="92">
        <f t="shared" si="30"/>
        <v>23345.161309999996</v>
      </c>
      <c r="J34" s="92">
        <f t="shared" si="30"/>
        <v>23345.161309999996</v>
      </c>
      <c r="K34" s="92">
        <f t="shared" si="30"/>
        <v>23345.161309999996</v>
      </c>
      <c r="L34" s="92">
        <f t="shared" si="30"/>
        <v>23345.161309999996</v>
      </c>
      <c r="M34" s="93">
        <f t="shared" si="30"/>
        <v>23345.161309999996</v>
      </c>
      <c r="N34" s="23"/>
      <c r="O34" s="81" t="s">
        <v>405</v>
      </c>
      <c r="P34" s="23"/>
      <c r="Q34" s="290"/>
      <c r="R34" s="290"/>
      <c r="S34" s="290"/>
      <c r="T34" s="290"/>
      <c r="U34" s="290"/>
      <c r="V34" s="30"/>
      <c r="W34" s="30"/>
      <c r="X34" s="30"/>
    </row>
    <row r="35" spans="1:24" s="3" customFormat="1" x14ac:dyDescent="0.2">
      <c r="A35" s="402" t="s">
        <v>361</v>
      </c>
      <c r="B35" s="403">
        <f>VLOOKUP($A$4,pohjatiedot!$B$3:$CB$296,27)</f>
        <v>1591130.5427199998</v>
      </c>
      <c r="C35" s="404">
        <f>VLOOKUP($A$4,pohjatiedot!$B$3:$CB$296,65)</f>
        <v>1007506.8197799999</v>
      </c>
      <c r="D35" s="404">
        <f>D31+D32+D33+D34</f>
        <v>315093.3324516468</v>
      </c>
      <c r="E35" s="405">
        <f t="shared" ref="E35:M35" si="31">E31+E32+E33+E34</f>
        <v>537061.72673321201</v>
      </c>
      <c r="F35" s="405">
        <f t="shared" si="31"/>
        <v>676351.4908967457</v>
      </c>
      <c r="G35" s="405">
        <f t="shared" si="31"/>
        <v>1209251.9188661021</v>
      </c>
      <c r="H35" s="405">
        <f t="shared" si="31"/>
        <v>1548070.3444204833</v>
      </c>
      <c r="I35" s="405">
        <f t="shared" si="31"/>
        <v>1623699.5830611996</v>
      </c>
      <c r="J35" s="405">
        <f t="shared" si="31"/>
        <v>1703607.2277494543</v>
      </c>
      <c r="K35" s="405">
        <f t="shared" si="31"/>
        <v>1787915.1175405206</v>
      </c>
      <c r="L35" s="405">
        <f t="shared" si="31"/>
        <v>1876816.5752779813</v>
      </c>
      <c r="M35" s="406">
        <f t="shared" si="31"/>
        <v>1970478.0246972684</v>
      </c>
      <c r="N35" s="17"/>
      <c r="O35" s="17"/>
      <c r="P35" s="17"/>
      <c r="Q35" s="287"/>
      <c r="R35" s="287"/>
      <c r="S35" s="287"/>
      <c r="T35" s="287"/>
      <c r="U35" s="287"/>
      <c r="V35" s="15"/>
      <c r="W35" s="15"/>
      <c r="X35" s="15"/>
    </row>
    <row r="36" spans="1:24" ht="15" x14ac:dyDescent="0.25">
      <c r="A36" s="96" t="s">
        <v>339</v>
      </c>
      <c r="B36" s="59"/>
      <c r="C36" s="121"/>
      <c r="D36" s="144"/>
      <c r="E36" s="52"/>
      <c r="F36" s="52"/>
      <c r="G36" s="298"/>
      <c r="H36" s="52"/>
      <c r="I36" s="52"/>
      <c r="J36" s="52"/>
      <c r="K36" s="52"/>
      <c r="L36" s="52"/>
      <c r="M36" s="52"/>
      <c r="N36" s="16"/>
      <c r="O36" s="16"/>
      <c r="P36" s="16"/>
      <c r="Q36" s="290"/>
      <c r="R36" s="290"/>
      <c r="S36" s="290"/>
      <c r="T36" s="290"/>
      <c r="U36" s="290"/>
      <c r="V36" s="30"/>
      <c r="W36" s="30"/>
      <c r="X36" s="30"/>
    </row>
    <row r="37" spans="1:24" s="3" customFormat="1" x14ac:dyDescent="0.2">
      <c r="A37" s="353" t="s">
        <v>373</v>
      </c>
      <c r="B37" s="354">
        <f>VLOOKUP($A$4,pohjatiedot!$B$3:$CB$296,29)</f>
        <v>16574800.531649988</v>
      </c>
      <c r="C37" s="355">
        <f>VLOOKUP($A$4,pohjatiedot!$B$3:$CB$296,67)</f>
        <v>17592147.472699989</v>
      </c>
      <c r="D37" s="355">
        <f>C37+D35</f>
        <v>17907240.805151634</v>
      </c>
      <c r="E37" s="356">
        <f t="shared" ref="E37:M37" si="32">D37+E35</f>
        <v>18444302.531884845</v>
      </c>
      <c r="F37" s="356">
        <f t="shared" si="32"/>
        <v>19120654.022781592</v>
      </c>
      <c r="G37" s="356">
        <f t="shared" si="32"/>
        <v>20329905.941647694</v>
      </c>
      <c r="H37" s="356">
        <f t="shared" si="32"/>
        <v>21877976.286068179</v>
      </c>
      <c r="I37" s="356">
        <f t="shared" si="32"/>
        <v>23501675.869129378</v>
      </c>
      <c r="J37" s="356">
        <f t="shared" si="32"/>
        <v>25205283.096878834</v>
      </c>
      <c r="K37" s="356">
        <f t="shared" si="32"/>
        <v>26993198.214419354</v>
      </c>
      <c r="L37" s="356">
        <f t="shared" si="32"/>
        <v>28870014.789697334</v>
      </c>
      <c r="M37" s="357">
        <f t="shared" si="32"/>
        <v>30840492.814394601</v>
      </c>
      <c r="N37" s="17"/>
      <c r="O37" s="17"/>
      <c r="P37" s="17"/>
      <c r="Q37" s="287"/>
      <c r="R37" s="287"/>
      <c r="S37" s="287"/>
      <c r="T37" s="287"/>
      <c r="U37" s="287"/>
      <c r="V37" s="15"/>
      <c r="W37" s="15"/>
      <c r="X37" s="15"/>
    </row>
    <row r="38" spans="1:24" x14ac:dyDescent="0.2">
      <c r="A38" s="358" t="s">
        <v>359</v>
      </c>
      <c r="B38" s="359">
        <f>1000*B37/B8</f>
        <v>2973.9599146019132</v>
      </c>
      <c r="C38" s="360">
        <f t="shared" ref="C38:M38" si="33">1000*C37/C8</f>
        <v>3138.4750358811089</v>
      </c>
      <c r="D38" s="360">
        <f t="shared" si="33"/>
        <v>3177.9980655873201</v>
      </c>
      <c r="E38" s="361">
        <f t="shared" si="33"/>
        <v>3259.21478936621</v>
      </c>
      <c r="F38" s="361">
        <f t="shared" si="33"/>
        <v>3364.4138535021798</v>
      </c>
      <c r="G38" s="361">
        <f t="shared" si="33"/>
        <v>3562.2794046355748</v>
      </c>
      <c r="H38" s="361">
        <f t="shared" si="33"/>
        <v>3817.855431537238</v>
      </c>
      <c r="I38" s="361">
        <f t="shared" si="33"/>
        <v>4084.7468133032085</v>
      </c>
      <c r="J38" s="361">
        <f>1000*J37/J8</f>
        <v>4363.6555066888777</v>
      </c>
      <c r="K38" s="361">
        <f t="shared" si="33"/>
        <v>4655.2695084589332</v>
      </c>
      <c r="L38" s="361">
        <f t="shared" si="33"/>
        <v>4960.2605440987872</v>
      </c>
      <c r="M38" s="362">
        <f t="shared" si="33"/>
        <v>5279.3953663712382</v>
      </c>
      <c r="N38" s="23"/>
      <c r="O38" s="23"/>
      <c r="P38" s="23"/>
      <c r="Q38" s="290"/>
      <c r="R38" s="290"/>
      <c r="S38" s="290"/>
      <c r="T38" s="290"/>
      <c r="U38" s="290"/>
      <c r="V38" s="30"/>
      <c r="W38" s="30"/>
      <c r="X38" s="30"/>
    </row>
    <row r="39" spans="1:24" x14ac:dyDescent="0.2">
      <c r="A39" s="41"/>
      <c r="B39" s="39"/>
      <c r="C39" s="39"/>
      <c r="D39" s="212"/>
      <c r="E39" s="124"/>
      <c r="F39" s="124"/>
      <c r="G39" s="299"/>
      <c r="H39" s="124"/>
      <c r="I39" s="124"/>
      <c r="J39" s="124"/>
      <c r="K39" s="124"/>
      <c r="L39" s="124"/>
      <c r="M39" s="124"/>
      <c r="N39" s="23"/>
      <c r="O39" s="23"/>
      <c r="P39" s="23"/>
      <c r="Q39" s="290"/>
      <c r="R39" s="290"/>
      <c r="S39" s="290"/>
      <c r="T39" s="290"/>
      <c r="U39" s="290"/>
      <c r="V39" s="30"/>
      <c r="W39" s="30"/>
      <c r="X39" s="30"/>
    </row>
    <row r="40" spans="1:24" ht="15.75" x14ac:dyDescent="0.25">
      <c r="A40" s="42" t="s">
        <v>450</v>
      </c>
      <c r="B40" s="130"/>
      <c r="C40" s="40"/>
      <c r="D40" s="194"/>
      <c r="E40" s="40"/>
      <c r="F40" s="40"/>
      <c r="G40" s="300"/>
      <c r="H40" s="40"/>
      <c r="I40" s="40"/>
      <c r="J40" s="40"/>
      <c r="K40" s="40"/>
      <c r="L40" s="40"/>
      <c r="M40" s="40"/>
      <c r="N40" s="23"/>
      <c r="O40" s="23"/>
      <c r="P40" s="23"/>
      <c r="Q40" s="290"/>
      <c r="R40" s="290"/>
      <c r="S40" s="290"/>
      <c r="T40" s="290"/>
      <c r="U40" s="290"/>
      <c r="V40" s="30"/>
      <c r="W40" s="30"/>
      <c r="X40" s="30"/>
    </row>
    <row r="41" spans="1:24" x14ac:dyDescent="0.2">
      <c r="A41" s="219" t="s">
        <v>32</v>
      </c>
      <c r="B41" s="202">
        <f>B26</f>
        <v>4233801.8336499985</v>
      </c>
      <c r="C41" s="224">
        <f>C26</f>
        <v>3262503.9811799959</v>
      </c>
      <c r="D41" s="205">
        <f>D26</f>
        <v>2858249.498201746</v>
      </c>
      <c r="E41" s="205">
        <f t="shared" ref="E41:M41" si="34">E26</f>
        <v>3093146.6916372613</v>
      </c>
      <c r="F41" s="205">
        <f t="shared" si="34"/>
        <v>3245429.8989505148</v>
      </c>
      <c r="G41" s="301">
        <f t="shared" si="34"/>
        <v>3791388.7372853397</v>
      </c>
      <c r="H41" s="205">
        <f t="shared" si="34"/>
        <v>4143330.8652570168</v>
      </c>
      <c r="I41" s="205">
        <f t="shared" si="34"/>
        <v>4232149.4248271156</v>
      </c>
      <c r="J41" s="205">
        <f t="shared" si="34"/>
        <v>4325312.3370493995</v>
      </c>
      <c r="K41" s="205">
        <f t="shared" si="34"/>
        <v>4422941.7707121652</v>
      </c>
      <c r="L41" s="205">
        <f t="shared" si="34"/>
        <v>4525231.3800406838</v>
      </c>
      <c r="M41" s="220">
        <f t="shared" si="34"/>
        <v>4632347.9218089841</v>
      </c>
      <c r="N41" s="23"/>
      <c r="O41" s="23"/>
      <c r="P41" s="23"/>
      <c r="Q41" s="290"/>
      <c r="R41" s="290"/>
      <c r="S41" s="290"/>
      <c r="T41" s="290"/>
      <c r="U41" s="290"/>
      <c r="V41" s="30"/>
      <c r="W41" s="30"/>
      <c r="X41" s="30"/>
    </row>
    <row r="42" spans="1:24" x14ac:dyDescent="0.2">
      <c r="A42" s="221" t="s">
        <v>362</v>
      </c>
      <c r="B42" s="352">
        <f>VLOOKUP($A$4,pohjatiedot!$B$3:$CN$296,31)</f>
        <v>-241779.46887999994</v>
      </c>
      <c r="C42" s="352">
        <f>VLOOKUP($A$4,pohjatiedot!$B$3:$CN$296,69)</f>
        <v>-416917.07476000011</v>
      </c>
      <c r="D42" s="92">
        <v>0</v>
      </c>
      <c r="E42" s="92">
        <f>D42</f>
        <v>0</v>
      </c>
      <c r="F42" s="92">
        <f t="shared" ref="F42:M42" si="35">E42</f>
        <v>0</v>
      </c>
      <c r="G42" s="92">
        <f t="shared" si="35"/>
        <v>0</v>
      </c>
      <c r="H42" s="92">
        <f t="shared" si="35"/>
        <v>0</v>
      </c>
      <c r="I42" s="92">
        <f t="shared" si="35"/>
        <v>0</v>
      </c>
      <c r="J42" s="92">
        <f t="shared" si="35"/>
        <v>0</v>
      </c>
      <c r="K42" s="92">
        <f t="shared" si="35"/>
        <v>0</v>
      </c>
      <c r="L42" s="92">
        <f t="shared" si="35"/>
        <v>0</v>
      </c>
      <c r="M42" s="93">
        <f t="shared" si="35"/>
        <v>0</v>
      </c>
      <c r="N42" s="23"/>
      <c r="O42" s="81" t="s">
        <v>403</v>
      </c>
      <c r="P42" s="23"/>
      <c r="Q42" s="290"/>
      <c r="R42" s="290"/>
      <c r="S42" s="290"/>
      <c r="T42" s="290"/>
      <c r="U42" s="290"/>
      <c r="V42" s="30"/>
      <c r="W42" s="30"/>
      <c r="X42" s="30"/>
    </row>
    <row r="43" spans="1:24" x14ac:dyDescent="0.2">
      <c r="A43" s="222" t="s">
        <v>364</v>
      </c>
      <c r="B43" s="223">
        <f>B29-B30</f>
        <v>-17295.343150000001</v>
      </c>
      <c r="C43" s="223">
        <f>C29-C30</f>
        <v>360501.85732999991</v>
      </c>
      <c r="D43" s="409">
        <f>D29-D30</f>
        <v>0</v>
      </c>
      <c r="E43" s="409">
        <f t="shared" ref="E43:M43" si="36">E29-E30</f>
        <v>0</v>
      </c>
      <c r="F43" s="409">
        <f t="shared" si="36"/>
        <v>0</v>
      </c>
      <c r="G43" s="409">
        <f t="shared" si="36"/>
        <v>0</v>
      </c>
      <c r="H43" s="409">
        <f t="shared" si="36"/>
        <v>0</v>
      </c>
      <c r="I43" s="409">
        <f t="shared" si="36"/>
        <v>0</v>
      </c>
      <c r="J43" s="409">
        <f t="shared" si="36"/>
        <v>0</v>
      </c>
      <c r="K43" s="409">
        <f t="shared" si="36"/>
        <v>0</v>
      </c>
      <c r="L43" s="409">
        <f t="shared" si="36"/>
        <v>0</v>
      </c>
      <c r="M43" s="410">
        <f t="shared" si="36"/>
        <v>0</v>
      </c>
      <c r="N43" s="23"/>
      <c r="O43" s="23"/>
      <c r="P43" s="23"/>
      <c r="Q43" s="290"/>
      <c r="R43" s="290"/>
      <c r="S43" s="290"/>
      <c r="T43" s="290"/>
      <c r="U43" s="290"/>
      <c r="V43" s="30"/>
      <c r="W43" s="30"/>
      <c r="X43" s="30"/>
    </row>
    <row r="44" spans="1:24" x14ac:dyDescent="0.2">
      <c r="A44" s="18" t="s">
        <v>414</v>
      </c>
      <c r="B44" s="53">
        <f>VLOOKUP($A$4,pohjatiedot!$B$3:$CN$296,30)</f>
        <v>3982704.9828900006</v>
      </c>
      <c r="C44" s="53">
        <f>VLOOKUP($A$4,pohjatiedot!$B$3:$CN$296,68)</f>
        <v>3198908.2864899971</v>
      </c>
      <c r="D44" s="203">
        <f>SUM(D41:D43)</f>
        <v>2858249.498201746</v>
      </c>
      <c r="E44" s="203">
        <f t="shared" ref="E44:M44" si="37">SUM(E41:E43)</f>
        <v>3093146.6916372613</v>
      </c>
      <c r="F44" s="203">
        <f t="shared" si="37"/>
        <v>3245429.8989505148</v>
      </c>
      <c r="G44" s="302">
        <f t="shared" si="37"/>
        <v>3791388.7372853397</v>
      </c>
      <c r="H44" s="203">
        <f t="shared" si="37"/>
        <v>4143330.8652570168</v>
      </c>
      <c r="I44" s="203">
        <f t="shared" si="37"/>
        <v>4232149.4248271156</v>
      </c>
      <c r="J44" s="203">
        <f t="shared" si="37"/>
        <v>4325312.3370493995</v>
      </c>
      <c r="K44" s="203">
        <f t="shared" si="37"/>
        <v>4422941.7707121652</v>
      </c>
      <c r="L44" s="203">
        <f t="shared" si="37"/>
        <v>4525231.3800406838</v>
      </c>
      <c r="M44" s="204">
        <f t="shared" si="37"/>
        <v>4632347.9218089841</v>
      </c>
      <c r="N44" s="23"/>
      <c r="O44" s="23"/>
      <c r="P44" s="23"/>
      <c r="Q44" s="290"/>
      <c r="R44" s="290"/>
      <c r="S44" s="290"/>
      <c r="T44" s="290"/>
      <c r="U44" s="290"/>
      <c r="V44" s="30"/>
      <c r="W44" s="30"/>
      <c r="X44" s="30"/>
    </row>
    <row r="45" spans="1:24" x14ac:dyDescent="0.2">
      <c r="A45" s="217" t="s">
        <v>365</v>
      </c>
      <c r="B45" s="407">
        <f>VLOOKUP($A$4,pohjatiedot!$B$3:$CB$296,32)</f>
        <v>-4410237.8182400018</v>
      </c>
      <c r="C45" s="62">
        <f>VLOOKUP($A$4,pohjatiedot!$B$3:$CN$296,70)</f>
        <v>-4476919.8362299986</v>
      </c>
      <c r="D45" s="246">
        <f>AVERAGE(B45:C45)</f>
        <v>-4443578.8272350002</v>
      </c>
      <c r="E45" s="240">
        <f>AVERAGE(C45:D45)</f>
        <v>-4460249.3317324994</v>
      </c>
      <c r="F45" s="240">
        <f t="shared" ref="F45:M47" si="38">AVERAGE(D45:E45)</f>
        <v>-4451914.0794837493</v>
      </c>
      <c r="G45" s="240">
        <f t="shared" si="38"/>
        <v>-4456081.7056081239</v>
      </c>
      <c r="H45" s="240">
        <f t="shared" si="38"/>
        <v>-4453997.8925459366</v>
      </c>
      <c r="I45" s="240">
        <f t="shared" si="38"/>
        <v>-4455039.7990770303</v>
      </c>
      <c r="J45" s="240">
        <f t="shared" si="38"/>
        <v>-4454518.8458114835</v>
      </c>
      <c r="K45" s="240">
        <f t="shared" si="38"/>
        <v>-4454779.3224442564</v>
      </c>
      <c r="L45" s="240">
        <f t="shared" si="38"/>
        <v>-4454649.0841278695</v>
      </c>
      <c r="M45" s="241">
        <f t="shared" si="38"/>
        <v>-4454714.2032860629</v>
      </c>
      <c r="N45" s="23"/>
      <c r="O45" s="81" t="s">
        <v>449</v>
      </c>
      <c r="P45" s="23"/>
      <c r="Q45" s="290"/>
      <c r="R45" s="290"/>
      <c r="S45" s="290"/>
      <c r="T45" s="290"/>
      <c r="U45" s="290"/>
      <c r="V45" s="30"/>
      <c r="W45" s="30"/>
      <c r="X45" s="30"/>
    </row>
    <row r="46" spans="1:24" x14ac:dyDescent="0.2">
      <c r="A46" s="186" t="s">
        <v>366</v>
      </c>
      <c r="B46" s="408">
        <f>VLOOKUP($A$4,pohjatiedot!$B$3:$CB$296,33)</f>
        <v>136833.85095999992</v>
      </c>
      <c r="C46" s="65">
        <f>VLOOKUP($A$4,pohjatiedot!$B$3:$CN$296,71)</f>
        <v>114670.46897999998</v>
      </c>
      <c r="D46" s="247">
        <f>AVERAGE(B46:C46)</f>
        <v>125752.15996999995</v>
      </c>
      <c r="E46" s="242">
        <f t="shared" ref="E46:E47" si="39">AVERAGE(C46:D46)</f>
        <v>120211.31447499996</v>
      </c>
      <c r="F46" s="242">
        <f t="shared" si="38"/>
        <v>122981.73722249996</v>
      </c>
      <c r="G46" s="242">
        <f t="shared" si="38"/>
        <v>121596.52584874997</v>
      </c>
      <c r="H46" s="242">
        <f t="shared" si="38"/>
        <v>122289.13153562497</v>
      </c>
      <c r="I46" s="242">
        <f t="shared" si="38"/>
        <v>121942.82869218747</v>
      </c>
      <c r="J46" s="242">
        <f t="shared" si="38"/>
        <v>122115.98011390622</v>
      </c>
      <c r="K46" s="242">
        <f t="shared" si="38"/>
        <v>122029.40440304685</v>
      </c>
      <c r="L46" s="242">
        <f t="shared" si="38"/>
        <v>122072.69225847654</v>
      </c>
      <c r="M46" s="243">
        <f t="shared" si="38"/>
        <v>122051.0483307617</v>
      </c>
      <c r="N46" s="23"/>
      <c r="O46" s="81" t="s">
        <v>449</v>
      </c>
      <c r="P46" s="23"/>
      <c r="Q46" s="290"/>
      <c r="R46" s="290"/>
      <c r="S46" s="290"/>
      <c r="T46" s="290"/>
      <c r="U46" s="290"/>
      <c r="V46" s="30"/>
      <c r="W46" s="30"/>
      <c r="X46" s="30"/>
    </row>
    <row r="47" spans="1:24" x14ac:dyDescent="0.2">
      <c r="A47" s="218" t="s">
        <v>367</v>
      </c>
      <c r="B47" s="127">
        <f>VLOOKUP($A$4,pohjatiedot!$B$3:$CB$296,34)</f>
        <v>584984.28815999953</v>
      </c>
      <c r="C47" s="128">
        <f>VLOOKUP($A$4,pohjatiedot!$B$3:$CN$296,72)</f>
        <v>757456.30896000017</v>
      </c>
      <c r="D47" s="494">
        <f>AVERAGE(B47:C47)</f>
        <v>671220.29855999979</v>
      </c>
      <c r="E47" s="244">
        <f t="shared" si="39"/>
        <v>714338.30376000004</v>
      </c>
      <c r="F47" s="244">
        <f t="shared" si="38"/>
        <v>692779.30115999992</v>
      </c>
      <c r="G47" s="244">
        <f t="shared" si="38"/>
        <v>703558.80245999992</v>
      </c>
      <c r="H47" s="244">
        <f t="shared" si="38"/>
        <v>698169.05180999986</v>
      </c>
      <c r="I47" s="244">
        <f t="shared" si="38"/>
        <v>700863.92713499989</v>
      </c>
      <c r="J47" s="244">
        <f t="shared" si="38"/>
        <v>699516.48947249982</v>
      </c>
      <c r="K47" s="244">
        <f t="shared" si="38"/>
        <v>700190.20830374979</v>
      </c>
      <c r="L47" s="244">
        <f t="shared" si="38"/>
        <v>699853.3488881248</v>
      </c>
      <c r="M47" s="245">
        <f t="shared" si="38"/>
        <v>700021.7785959373</v>
      </c>
      <c r="N47" s="23"/>
      <c r="O47" s="81" t="s">
        <v>449</v>
      </c>
      <c r="P47" s="23"/>
      <c r="Q47" s="290"/>
      <c r="R47" s="290"/>
      <c r="S47" s="290"/>
      <c r="T47" s="290"/>
      <c r="U47" s="290"/>
      <c r="V47" s="30"/>
      <c r="W47" s="30"/>
      <c r="X47" s="30"/>
    </row>
    <row r="48" spans="1:24" s="3" customFormat="1" x14ac:dyDescent="0.2">
      <c r="A48" s="18" t="s">
        <v>368</v>
      </c>
      <c r="B48" s="53">
        <f>SUM(B45:B47)</f>
        <v>-3688419.6791200028</v>
      </c>
      <c r="C48" s="53">
        <f>C47+C46+C45</f>
        <v>-3604793.0582899982</v>
      </c>
      <c r="D48" s="78">
        <f t="shared" ref="D48:M48" si="40">D47+D46+D45</f>
        <v>-3646606.3687050007</v>
      </c>
      <c r="E48" s="54">
        <f t="shared" si="40"/>
        <v>-3625699.7134974995</v>
      </c>
      <c r="F48" s="54">
        <f t="shared" si="40"/>
        <v>-3636153.0411012494</v>
      </c>
      <c r="G48" s="54">
        <f t="shared" si="40"/>
        <v>-3630926.377299374</v>
      </c>
      <c r="H48" s="54">
        <f t="shared" si="40"/>
        <v>-3633539.7092003119</v>
      </c>
      <c r="I48" s="54">
        <f t="shared" si="40"/>
        <v>-3632233.0432498427</v>
      </c>
      <c r="J48" s="54">
        <f t="shared" si="40"/>
        <v>-3632886.3762250775</v>
      </c>
      <c r="K48" s="54">
        <f t="shared" si="40"/>
        <v>-3632559.7097374597</v>
      </c>
      <c r="L48" s="54">
        <f t="shared" si="40"/>
        <v>-3632723.0429812679</v>
      </c>
      <c r="M48" s="55">
        <f t="shared" si="40"/>
        <v>-3632641.376359364</v>
      </c>
      <c r="N48" s="17"/>
      <c r="O48" s="17"/>
      <c r="P48" s="17"/>
      <c r="Q48" s="287"/>
      <c r="R48" s="287"/>
      <c r="S48" s="287"/>
      <c r="T48" s="287"/>
      <c r="U48" s="287"/>
      <c r="V48" s="15"/>
      <c r="W48" s="15"/>
      <c r="X48" s="15"/>
    </row>
    <row r="49" spans="1:24" s="3" customFormat="1" x14ac:dyDescent="0.2">
      <c r="A49" s="24" t="s">
        <v>359</v>
      </c>
      <c r="B49" s="68">
        <f t="shared" ref="B49:M49" si="41">1000*B48/B8</f>
        <v>-661.8005600119144</v>
      </c>
      <c r="C49" s="68">
        <f t="shared" si="41"/>
        <v>-643.10244332122488</v>
      </c>
      <c r="D49" s="80">
        <f t="shared" si="41"/>
        <v>-647.16324037865991</v>
      </c>
      <c r="E49" s="69">
        <f t="shared" si="41"/>
        <v>-640.68208096260787</v>
      </c>
      <c r="F49" s="69">
        <f t="shared" si="41"/>
        <v>-639.80675819766975</v>
      </c>
      <c r="G49" s="297">
        <f t="shared" si="41"/>
        <v>-636.22400864651104</v>
      </c>
      <c r="H49" s="69">
        <f t="shared" si="41"/>
        <v>-634.07735400602382</v>
      </c>
      <c r="I49" s="69">
        <f t="shared" si="41"/>
        <v>-631.30614306864061</v>
      </c>
      <c r="J49" s="69">
        <f t="shared" si="41"/>
        <v>-628.94213803742571</v>
      </c>
      <c r="K49" s="69">
        <f t="shared" si="41"/>
        <v>-626.47428141226601</v>
      </c>
      <c r="L49" s="69">
        <f t="shared" si="41"/>
        <v>-624.15114467377703</v>
      </c>
      <c r="M49" s="70">
        <f t="shared" si="41"/>
        <v>-621.84966256728512</v>
      </c>
      <c r="N49" s="17"/>
      <c r="O49" s="17"/>
      <c r="P49" s="17"/>
      <c r="Q49" s="287"/>
      <c r="R49" s="287"/>
      <c r="S49" s="287"/>
      <c r="T49" s="287"/>
      <c r="U49" s="287"/>
      <c r="V49" s="15"/>
      <c r="W49" s="15"/>
      <c r="X49" s="15"/>
    </row>
    <row r="50" spans="1:24" s="5" customFormat="1" hidden="1" x14ac:dyDescent="0.2">
      <c r="A50" s="206" t="s">
        <v>33</v>
      </c>
      <c r="B50" s="62">
        <f t="shared" ref="B50:M50" si="42">B26+B48</f>
        <v>545382.15452999575</v>
      </c>
      <c r="C50" s="62">
        <f t="shared" si="42"/>
        <v>-342289.07711000228</v>
      </c>
      <c r="D50" s="63">
        <f t="shared" si="42"/>
        <v>-788356.8705032547</v>
      </c>
      <c r="E50" s="63">
        <f t="shared" si="42"/>
        <v>-532553.02186023816</v>
      </c>
      <c r="F50" s="63">
        <f t="shared" si="42"/>
        <v>-390723.14215073455</v>
      </c>
      <c r="G50" s="303">
        <f t="shared" si="42"/>
        <v>160462.35998596577</v>
      </c>
      <c r="H50" s="63">
        <f t="shared" si="42"/>
        <v>509791.15605670493</v>
      </c>
      <c r="I50" s="63">
        <f t="shared" si="42"/>
        <v>599916.3815772729</v>
      </c>
      <c r="J50" s="63">
        <f t="shared" si="42"/>
        <v>692425.96082432196</v>
      </c>
      <c r="K50" s="63">
        <f t="shared" si="42"/>
        <v>790382.0609747055</v>
      </c>
      <c r="L50" s="63">
        <f t="shared" si="42"/>
        <v>892508.33705941588</v>
      </c>
      <c r="M50" s="64">
        <f t="shared" si="42"/>
        <v>999706.54544962011</v>
      </c>
      <c r="O50" s="207"/>
      <c r="P50" s="114"/>
      <c r="Q50" s="234"/>
      <c r="R50" s="234"/>
      <c r="S50" s="234"/>
      <c r="T50" s="234"/>
      <c r="U50" s="234"/>
      <c r="V50" s="114"/>
      <c r="W50" s="114"/>
      <c r="X50" s="114"/>
    </row>
    <row r="51" spans="1:24" hidden="1" x14ac:dyDescent="0.2">
      <c r="A51" s="208" t="s">
        <v>359</v>
      </c>
      <c r="B51" s="191">
        <f t="shared" ref="B51:M51" si="43">1000*B50/B8</f>
        <v>97.856059420702564</v>
      </c>
      <c r="C51" s="191">
        <f t="shared" si="43"/>
        <v>-61.065070380498064</v>
      </c>
      <c r="D51" s="192">
        <f t="shared" si="43"/>
        <v>-139.9096955646597</v>
      </c>
      <c r="E51" s="192">
        <f t="shared" si="43"/>
        <v>-94.105194922281569</v>
      </c>
      <c r="F51" s="192">
        <f t="shared" si="43"/>
        <v>-68.750491001489124</v>
      </c>
      <c r="G51" s="304">
        <f t="shared" si="43"/>
        <v>28.116793153785615</v>
      </c>
      <c r="H51" s="192">
        <f t="shared" si="43"/>
        <v>88.962018636986159</v>
      </c>
      <c r="I51" s="192">
        <f t="shared" si="43"/>
        <v>104.26943770061179</v>
      </c>
      <c r="J51" s="192">
        <f t="shared" si="43"/>
        <v>119.87599366815056</v>
      </c>
      <c r="K51" s="192">
        <f t="shared" si="43"/>
        <v>136.30995035345512</v>
      </c>
      <c r="L51" s="192">
        <f t="shared" si="43"/>
        <v>153.34505097568928</v>
      </c>
      <c r="M51" s="193">
        <f t="shared" si="43"/>
        <v>171.13365002112812</v>
      </c>
      <c r="N51" s="16"/>
      <c r="O51" s="16"/>
      <c r="P51" s="16"/>
      <c r="Q51" s="290"/>
      <c r="R51" s="290"/>
      <c r="S51" s="290"/>
      <c r="T51" s="290"/>
      <c r="U51" s="290"/>
      <c r="V51" s="30"/>
      <c r="W51" s="30"/>
      <c r="X51" s="30"/>
    </row>
    <row r="52" spans="1:24" x14ac:dyDescent="0.2">
      <c r="A52" s="368" t="s">
        <v>415</v>
      </c>
      <c r="B52" s="481"/>
      <c r="C52" s="482"/>
      <c r="D52" s="483"/>
      <c r="E52" s="484"/>
      <c r="F52" s="484"/>
      <c r="G52" s="484"/>
      <c r="H52" s="484"/>
      <c r="I52" s="484"/>
      <c r="J52" s="484"/>
      <c r="K52" s="484"/>
      <c r="L52" s="484"/>
      <c r="M52" s="485"/>
      <c r="N52" s="16"/>
      <c r="P52" s="16"/>
      <c r="Q52" s="290"/>
      <c r="R52" s="290"/>
      <c r="S52" s="290"/>
      <c r="T52" s="290"/>
      <c r="U52" s="290"/>
      <c r="V52" s="30"/>
      <c r="W52" s="30"/>
      <c r="X52" s="30"/>
    </row>
    <row r="53" spans="1:24" x14ac:dyDescent="0.2">
      <c r="A53" s="486" t="s">
        <v>370</v>
      </c>
      <c r="B53" s="403">
        <f>B44+B48</f>
        <v>294285.30376999779</v>
      </c>
      <c r="C53" s="403">
        <f>C44+C48</f>
        <v>-405884.77180000115</v>
      </c>
      <c r="D53" s="405">
        <f>D44+D48</f>
        <v>-788356.8705032547</v>
      </c>
      <c r="E53" s="405">
        <f t="shared" ref="E53:M53" si="44">E44+E48</f>
        <v>-532553.02186023816</v>
      </c>
      <c r="F53" s="405">
        <f t="shared" si="44"/>
        <v>-390723.14215073455</v>
      </c>
      <c r="G53" s="405">
        <f t="shared" si="44"/>
        <v>160462.35998596577</v>
      </c>
      <c r="H53" s="405">
        <f t="shared" si="44"/>
        <v>509791.15605670493</v>
      </c>
      <c r="I53" s="405">
        <f t="shared" si="44"/>
        <v>599916.3815772729</v>
      </c>
      <c r="J53" s="405">
        <f t="shared" si="44"/>
        <v>692425.96082432196</v>
      </c>
      <c r="K53" s="405">
        <f t="shared" si="44"/>
        <v>790382.0609747055</v>
      </c>
      <c r="L53" s="405">
        <f t="shared" si="44"/>
        <v>892508.33705941588</v>
      </c>
      <c r="M53" s="406">
        <f t="shared" si="44"/>
        <v>999706.54544962011</v>
      </c>
      <c r="N53" s="16"/>
      <c r="O53" s="112"/>
      <c r="P53" s="16"/>
      <c r="Q53" s="290"/>
      <c r="R53" s="290"/>
      <c r="S53" s="290"/>
      <c r="T53" s="290"/>
      <c r="U53" s="290"/>
      <c r="V53" s="30"/>
      <c r="W53" s="30"/>
      <c r="X53" s="30"/>
    </row>
    <row r="54" spans="1:24" ht="12" x14ac:dyDescent="0.2">
      <c r="A54" s="487" t="s">
        <v>411</v>
      </c>
      <c r="B54" s="488"/>
      <c r="C54" s="354"/>
      <c r="D54" s="355"/>
      <c r="E54" s="356"/>
      <c r="F54" s="356"/>
      <c r="G54" s="356"/>
      <c r="H54" s="356"/>
      <c r="I54" s="356"/>
      <c r="J54" s="356"/>
      <c r="K54" s="356"/>
      <c r="L54" s="356"/>
      <c r="M54" s="357"/>
      <c r="N54" s="37"/>
      <c r="O54" s="112"/>
      <c r="P54" s="16"/>
      <c r="Q54" s="290"/>
      <c r="R54" s="290"/>
      <c r="S54" s="290"/>
      <c r="T54" s="290"/>
      <c r="U54" s="290"/>
      <c r="V54" s="30"/>
      <c r="W54" s="30"/>
      <c r="X54" s="30"/>
    </row>
    <row r="55" spans="1:24" x14ac:dyDescent="0.2">
      <c r="A55" s="528" t="s">
        <v>456</v>
      </c>
      <c r="B55" s="489"/>
      <c r="C55" s="489"/>
      <c r="D55" s="490"/>
      <c r="E55" s="491"/>
      <c r="F55" s="491"/>
      <c r="G55" s="491"/>
      <c r="H55" s="491"/>
      <c r="I55" s="491"/>
      <c r="J55" s="491"/>
      <c r="K55" s="491"/>
      <c r="L55" s="491"/>
      <c r="M55" s="492"/>
      <c r="N55" s="37"/>
      <c r="O55" s="112"/>
      <c r="P55" s="16"/>
      <c r="Q55" s="290"/>
      <c r="R55" s="290"/>
      <c r="S55" s="290"/>
      <c r="T55" s="290"/>
      <c r="U55" s="290"/>
      <c r="V55" s="30"/>
      <c r="W55" s="30"/>
      <c r="X55" s="30"/>
    </row>
    <row r="56" spans="1:24" x14ac:dyDescent="0.2">
      <c r="A56" s="493" t="s">
        <v>443</v>
      </c>
      <c r="B56" s="359"/>
      <c r="C56" s="404"/>
      <c r="D56" s="404">
        <f>D53-D59+D57</f>
        <v>-3205730.1385595063</v>
      </c>
      <c r="E56" s="405">
        <f t="shared" ref="E56:M56" si="45">E53-E59+E57</f>
        <v>-3008399.2719974029</v>
      </c>
      <c r="F56" s="405">
        <f t="shared" si="45"/>
        <v>-2895533.5291204615</v>
      </c>
      <c r="G56" s="405">
        <f t="shared" si="45"/>
        <v>-2356994.2506385972</v>
      </c>
      <c r="H56" s="405">
        <f t="shared" si="45"/>
        <v>-1958145.2314366298</v>
      </c>
      <c r="I56" s="405">
        <f t="shared" si="45"/>
        <v>-1779819.296016016</v>
      </c>
      <c r="J56" s="405">
        <f t="shared" si="45"/>
        <v>-1590072.4278716077</v>
      </c>
      <c r="K56" s="405">
        <f t="shared" si="45"/>
        <v>-1385687.1772697889</v>
      </c>
      <c r="L56" s="405">
        <f t="shared" si="45"/>
        <v>-1167442.0538473679</v>
      </c>
      <c r="M56" s="406">
        <f t="shared" si="45"/>
        <v>-934087.27765164431</v>
      </c>
      <c r="N56" s="37"/>
      <c r="O56" s="112"/>
      <c r="P56" s="16"/>
      <c r="Q56" s="290"/>
      <c r="R56" s="290"/>
      <c r="S56" s="290"/>
      <c r="T56" s="290"/>
      <c r="U56" s="290"/>
      <c r="V56" s="30"/>
      <c r="W56" s="30"/>
      <c r="X56" s="30"/>
    </row>
    <row r="57" spans="1:24" x14ac:dyDescent="0.2">
      <c r="A57" s="284" t="s">
        <v>389</v>
      </c>
      <c r="B57" s="53">
        <f>VLOOKUP($A$4,pohjatiedot!$B$3:$CB$296,38)</f>
        <v>137102.56155000004</v>
      </c>
      <c r="C57" s="53">
        <f>VLOOKUP($A$4,pohjatiedot!$B$3:$CB$296,76)</f>
        <v>-187770.51311</v>
      </c>
      <c r="D57" s="251">
        <v>0</v>
      </c>
      <c r="E57" s="252">
        <f t="shared" ref="E57:M57" si="46">D57</f>
        <v>0</v>
      </c>
      <c r="F57" s="252">
        <f t="shared" si="46"/>
        <v>0</v>
      </c>
      <c r="G57" s="252">
        <f t="shared" si="46"/>
        <v>0</v>
      </c>
      <c r="H57" s="252">
        <f t="shared" si="46"/>
        <v>0</v>
      </c>
      <c r="I57" s="252">
        <f t="shared" si="46"/>
        <v>0</v>
      </c>
      <c r="J57" s="252">
        <f t="shared" si="46"/>
        <v>0</v>
      </c>
      <c r="K57" s="252">
        <f t="shared" si="46"/>
        <v>0</v>
      </c>
      <c r="L57" s="252">
        <f t="shared" si="46"/>
        <v>0</v>
      </c>
      <c r="M57" s="253">
        <f t="shared" si="46"/>
        <v>0</v>
      </c>
      <c r="O57" s="25" t="s">
        <v>404</v>
      </c>
      <c r="P57" s="16"/>
      <c r="Q57" s="290"/>
      <c r="R57" s="76"/>
      <c r="S57" s="290"/>
      <c r="T57" s="290"/>
      <c r="U57" s="290"/>
      <c r="V57" s="30"/>
      <c r="W57" s="30"/>
      <c r="X57" s="30"/>
    </row>
    <row r="58" spans="1:24" s="5" customFormat="1" x14ac:dyDescent="0.2">
      <c r="A58" s="248" t="s">
        <v>371</v>
      </c>
      <c r="B58" s="53">
        <f>VLOOKUP($A$4,pohjatiedot!$B$3:$CB$296,39)</f>
        <v>74893.713050000006</v>
      </c>
      <c r="C58" s="53">
        <f>VLOOKUP($A$4,pohjatiedot!$B$3:$CB$296,77)</f>
        <v>628952.20760000008</v>
      </c>
      <c r="D58" s="249">
        <f>D60-D59</f>
        <v>467783.85664730379</v>
      </c>
      <c r="E58" s="249">
        <f t="shared" ref="E58:M58" si="47">E60-E59</f>
        <v>231713.0946604982</v>
      </c>
      <c r="F58" s="249">
        <f t="shared" si="47"/>
        <v>101169.78923868854</v>
      </c>
      <c r="G58" s="279">
        <f t="shared" si="47"/>
        <v>-396161.78504982544</v>
      </c>
      <c r="H58" s="249">
        <f t="shared" si="47"/>
        <v>-705605.679200368</v>
      </c>
      <c r="I58" s="249">
        <f t="shared" si="47"/>
        <v>-777898.31117887422</v>
      </c>
      <c r="J58" s="249">
        <f t="shared" si="47"/>
        <v>-851433.20361148287</v>
      </c>
      <c r="K58" s="249">
        <f t="shared" si="47"/>
        <v>-928950.77870168444</v>
      </c>
      <c r="L58" s="249">
        <f t="shared" si="47"/>
        <v>-1009252.5424441528</v>
      </c>
      <c r="M58" s="250">
        <f t="shared" si="47"/>
        <v>-1093115.2732147845</v>
      </c>
      <c r="N58" s="17"/>
      <c r="P58" s="36"/>
      <c r="Q58" s="234"/>
      <c r="R58" s="234"/>
      <c r="S58" s="234"/>
      <c r="T58" s="234"/>
      <c r="U58" s="234"/>
      <c r="V58" s="114"/>
      <c r="W58" s="114"/>
      <c r="X58" s="114"/>
    </row>
    <row r="59" spans="1:24" s="5" customFormat="1" x14ac:dyDescent="0.2">
      <c r="A59" s="209" t="s">
        <v>329</v>
      </c>
      <c r="B59" s="215"/>
      <c r="C59" s="56"/>
      <c r="D59" s="44">
        <f>IF(C61&gt;0,(C61*(1/$H$78)),IF(C61=0,0))</f>
        <v>2417373.2680562516</v>
      </c>
      <c r="E59" s="44">
        <f t="shared" ref="E59:M59" si="48">IF(D61&gt;0,(D61*(1/$H$78)),IF(D61=0,0))</f>
        <v>2475846.2501371647</v>
      </c>
      <c r="F59" s="44">
        <f t="shared" si="48"/>
        <v>2504810.386969727</v>
      </c>
      <c r="G59" s="235">
        <f t="shared" si="48"/>
        <v>2517456.6106245629</v>
      </c>
      <c r="H59" s="44">
        <f>IF(G61&gt;0,(G61*(1/$H$78)),IF(G61=0,0))</f>
        <v>2467936.3874933347</v>
      </c>
      <c r="I59" s="44">
        <f t="shared" si="48"/>
        <v>2379735.6775932889</v>
      </c>
      <c r="J59" s="44">
        <f t="shared" si="48"/>
        <v>2282498.3886959297</v>
      </c>
      <c r="K59" s="44">
        <f t="shared" si="48"/>
        <v>2176069.2382444944</v>
      </c>
      <c r="L59" s="44">
        <f t="shared" si="48"/>
        <v>2059950.3909067838</v>
      </c>
      <c r="M59" s="210">
        <f t="shared" si="48"/>
        <v>1933793.8231012644</v>
      </c>
      <c r="N59" s="36"/>
      <c r="O59" s="211"/>
      <c r="P59" s="36"/>
      <c r="Q59" s="234"/>
      <c r="R59" s="234"/>
      <c r="S59" s="234"/>
      <c r="T59" s="234"/>
      <c r="U59" s="234"/>
      <c r="V59" s="114"/>
      <c r="W59" s="114"/>
      <c r="X59" s="114"/>
    </row>
    <row r="60" spans="1:24" s="5" customFormat="1" x14ac:dyDescent="0.2">
      <c r="A60" s="209" t="s">
        <v>327</v>
      </c>
      <c r="B60" s="215"/>
      <c r="C60" s="59"/>
      <c r="D60" s="190">
        <f t="shared" ref="D60:M60" si="49">-(D56+(C63-D63))</f>
        <v>2885157.1247035554</v>
      </c>
      <c r="E60" s="190">
        <f t="shared" si="49"/>
        <v>2707559.3447976629</v>
      </c>
      <c r="F60" s="190">
        <f t="shared" si="49"/>
        <v>2605980.1762084155</v>
      </c>
      <c r="G60" s="305">
        <f t="shared" si="49"/>
        <v>2121294.8255747375</v>
      </c>
      <c r="H60" s="190">
        <f t="shared" si="49"/>
        <v>1762330.7082929667</v>
      </c>
      <c r="I60" s="190">
        <f t="shared" si="49"/>
        <v>1601837.3664144147</v>
      </c>
      <c r="J60" s="190">
        <f t="shared" si="49"/>
        <v>1431065.1850844468</v>
      </c>
      <c r="K60" s="190">
        <f t="shared" si="49"/>
        <v>1247118.45954281</v>
      </c>
      <c r="L60" s="190">
        <f t="shared" si="49"/>
        <v>1050697.848462631</v>
      </c>
      <c r="M60" s="216">
        <f t="shared" si="49"/>
        <v>840678.54988647997</v>
      </c>
      <c r="N60" s="36"/>
      <c r="O60" s="36"/>
      <c r="P60" s="36"/>
      <c r="Q60" s="234"/>
      <c r="R60" s="234"/>
      <c r="S60" s="234"/>
      <c r="T60" s="234"/>
      <c r="U60" s="234"/>
      <c r="V60" s="114"/>
      <c r="W60" s="114"/>
      <c r="X60" s="114"/>
    </row>
    <row r="61" spans="1:24" s="3" customFormat="1" x14ac:dyDescent="0.2">
      <c r="A61" s="368" t="s">
        <v>21</v>
      </c>
      <c r="B61" s="354">
        <f>VLOOKUP($A$4,pohjatiedot!$B$3:$CB$296,37)</f>
        <v>18768689.274030007</v>
      </c>
      <c r="C61" s="354">
        <f>VLOOKUP($A$4,pohjatiedot!$B$3:$CB$296,75)</f>
        <v>19338986.144450013</v>
      </c>
      <c r="D61" s="369">
        <f>C61-D59+D60</f>
        <v>19806770.001097318</v>
      </c>
      <c r="E61" s="369">
        <f t="shared" ref="E61:M61" si="50">D61-E59+E60</f>
        <v>20038483.095757816</v>
      </c>
      <c r="F61" s="369">
        <f t="shared" si="50"/>
        <v>20139652.884996504</v>
      </c>
      <c r="G61" s="369">
        <f t="shared" si="50"/>
        <v>19743491.099946678</v>
      </c>
      <c r="H61" s="369">
        <f t="shared" si="50"/>
        <v>19037885.420746312</v>
      </c>
      <c r="I61" s="369">
        <f t="shared" si="50"/>
        <v>18259987.109567437</v>
      </c>
      <c r="J61" s="369">
        <f t="shared" si="50"/>
        <v>17408553.905955955</v>
      </c>
      <c r="K61" s="369">
        <f t="shared" si="50"/>
        <v>16479603.12725427</v>
      </c>
      <c r="L61" s="369">
        <f t="shared" si="50"/>
        <v>15470350.584810115</v>
      </c>
      <c r="M61" s="370">
        <f t="shared" si="50"/>
        <v>14377235.311595332</v>
      </c>
      <c r="N61" s="17"/>
      <c r="O61" s="17"/>
      <c r="P61" s="17"/>
      <c r="Q61" s="287"/>
      <c r="R61" s="287"/>
      <c r="S61" s="287"/>
      <c r="T61" s="287"/>
      <c r="U61" s="287"/>
      <c r="V61" s="15"/>
      <c r="W61" s="15"/>
      <c r="X61" s="15"/>
    </row>
    <row r="62" spans="1:24" s="4" customFormat="1" x14ac:dyDescent="0.2">
      <c r="A62" s="358" t="s">
        <v>359</v>
      </c>
      <c r="B62" s="371">
        <f t="shared" ref="B62:M62" si="51">1000*B61/B8</f>
        <v>3367.6018872142417</v>
      </c>
      <c r="C62" s="371">
        <f t="shared" si="51"/>
        <v>3450.1146223219866</v>
      </c>
      <c r="D62" s="372">
        <f t="shared" si="51"/>
        <v>3515.1075162239226</v>
      </c>
      <c r="E62" s="372">
        <f t="shared" si="51"/>
        <v>3540.9157027899059</v>
      </c>
      <c r="F62" s="372">
        <f t="shared" si="51"/>
        <v>3543.713886056195</v>
      </c>
      <c r="G62" s="372">
        <f t="shared" si="51"/>
        <v>3459.5256821559883</v>
      </c>
      <c r="H62" s="372">
        <f t="shared" si="51"/>
        <v>3322.2402889642381</v>
      </c>
      <c r="I62" s="372">
        <f t="shared" si="51"/>
        <v>3173.7066144605265</v>
      </c>
      <c r="J62" s="372">
        <f t="shared" si="51"/>
        <v>3013.849589518064</v>
      </c>
      <c r="K62" s="372">
        <f t="shared" si="51"/>
        <v>2842.0861188960648</v>
      </c>
      <c r="L62" s="372">
        <f t="shared" si="51"/>
        <v>2658.0162901958006</v>
      </c>
      <c r="M62" s="373">
        <f t="shared" si="51"/>
        <v>2461.1509920437475</v>
      </c>
      <c r="N62" s="38"/>
      <c r="O62" s="38"/>
      <c r="P62" s="38"/>
      <c r="Q62" s="523"/>
      <c r="R62" s="523"/>
      <c r="S62" s="523"/>
      <c r="T62" s="523"/>
      <c r="U62" s="523"/>
      <c r="V62" s="37"/>
      <c r="W62" s="37"/>
      <c r="X62" s="37"/>
    </row>
    <row r="63" spans="1:24" s="3" customFormat="1" x14ac:dyDescent="0.2">
      <c r="A63" s="19" t="s">
        <v>34</v>
      </c>
      <c r="B63" s="53">
        <f>VLOOKUP($A$4,pohjatiedot!$B$3:$CB$296,35)</f>
        <v>6073124.0360999983</v>
      </c>
      <c r="C63" s="53">
        <f>VLOOKUP($A$4,pohjatiedot!$B$3:$CB$296,73)</f>
        <v>5836260.8694999954</v>
      </c>
      <c r="D63" s="57">
        <f>IF(D56&gt;0,(C63+D56),IF(C63+(D56*$H$80)&lt;0,0,IF(C63+(D56*$H$80)&gt;0,C63+(D56*$H$80))))</f>
        <v>5515687.8556440445</v>
      </c>
      <c r="E63" s="57">
        <f t="shared" ref="E63:M63" si="52">IF(E56&gt;0,(D63+E56),IF(D63+(E56*$H$80)&lt;0,0,IF(D63+(E56*$H$80)&gt;0,D63+(E56*$H$80))))</f>
        <v>5214847.9284443045</v>
      </c>
      <c r="F63" s="57">
        <f t="shared" si="52"/>
        <v>4925294.5755322585</v>
      </c>
      <c r="G63" s="293">
        <f t="shared" si="52"/>
        <v>4689595.1504683988</v>
      </c>
      <c r="H63" s="57">
        <f t="shared" si="52"/>
        <v>4493780.6273247357</v>
      </c>
      <c r="I63" s="57">
        <f t="shared" si="52"/>
        <v>4315798.6977231344</v>
      </c>
      <c r="J63" s="57">
        <f t="shared" si="52"/>
        <v>4156791.4549359735</v>
      </c>
      <c r="K63" s="57">
        <f t="shared" si="52"/>
        <v>4018222.7372089946</v>
      </c>
      <c r="L63" s="57">
        <f t="shared" si="52"/>
        <v>3901478.5318242577</v>
      </c>
      <c r="M63" s="58">
        <f t="shared" si="52"/>
        <v>3808069.8040590934</v>
      </c>
      <c r="N63" s="17"/>
      <c r="O63" s="17"/>
      <c r="P63" s="17"/>
      <c r="Q63" s="287"/>
      <c r="R63" s="287"/>
      <c r="S63" s="287"/>
      <c r="T63" s="287"/>
      <c r="U63" s="287"/>
      <c r="V63" s="15"/>
      <c r="W63" s="15"/>
      <c r="X63" s="15"/>
    </row>
    <row r="64" spans="1:24" s="4" customFormat="1" x14ac:dyDescent="0.2">
      <c r="A64" s="24" t="s">
        <v>359</v>
      </c>
      <c r="B64" s="123">
        <f t="shared" ref="B64:M64" si="53">1000*B63/B8</f>
        <v>1089.6799273860593</v>
      </c>
      <c r="C64" s="123">
        <f t="shared" si="53"/>
        <v>1041.2008579532603</v>
      </c>
      <c r="D64" s="98">
        <f t="shared" si="53"/>
        <v>978.8691360300171</v>
      </c>
      <c r="E64" s="98">
        <f t="shared" si="53"/>
        <v>921.49374926483313</v>
      </c>
      <c r="F64" s="98">
        <f t="shared" si="53"/>
        <v>866.64029811723071</v>
      </c>
      <c r="G64" s="306">
        <f t="shared" si="53"/>
        <v>821.72776738574964</v>
      </c>
      <c r="H64" s="98">
        <f t="shared" si="53"/>
        <v>784.19523596859483</v>
      </c>
      <c r="I64" s="98">
        <f t="shared" si="53"/>
        <v>750.1143780363002</v>
      </c>
      <c r="J64" s="98">
        <f t="shared" si="53"/>
        <v>719.64301502865317</v>
      </c>
      <c r="K64" s="98">
        <f t="shared" si="53"/>
        <v>692.98604923121013</v>
      </c>
      <c r="L64" s="98">
        <f t="shared" si="53"/>
        <v>670.32698687644881</v>
      </c>
      <c r="M64" s="99">
        <f t="shared" si="53"/>
        <v>651.88018230967612</v>
      </c>
      <c r="N64" s="37"/>
      <c r="O64" s="37"/>
      <c r="P64" s="37"/>
      <c r="Q64" s="523"/>
      <c r="R64" s="523"/>
      <c r="S64" s="523"/>
      <c r="T64" s="523"/>
      <c r="U64" s="523"/>
      <c r="V64" s="37"/>
      <c r="W64" s="37"/>
      <c r="X64" s="37"/>
    </row>
    <row r="65" spans="1:24" s="3" customFormat="1" x14ac:dyDescent="0.2">
      <c r="A65" s="18" t="s">
        <v>343</v>
      </c>
      <c r="B65" s="53">
        <f>B61-B63</f>
        <v>12695565.237930009</v>
      </c>
      <c r="C65" s="53">
        <f t="shared" ref="C65:M65" si="54">C61-C63</f>
        <v>13502725.274950016</v>
      </c>
      <c r="D65" s="78">
        <f t="shared" si="54"/>
        <v>14291082.145453274</v>
      </c>
      <c r="E65" s="54">
        <f t="shared" si="54"/>
        <v>14823635.167313512</v>
      </c>
      <c r="F65" s="54">
        <f t="shared" si="54"/>
        <v>15214358.309464246</v>
      </c>
      <c r="G65" s="54">
        <f t="shared" si="54"/>
        <v>15053895.94947828</v>
      </c>
      <c r="H65" s="54">
        <f t="shared" si="54"/>
        <v>14544104.793421576</v>
      </c>
      <c r="I65" s="54">
        <f t="shared" si="54"/>
        <v>13944188.411844302</v>
      </c>
      <c r="J65" s="54">
        <f t="shared" si="54"/>
        <v>13251762.451019982</v>
      </c>
      <c r="K65" s="54">
        <f t="shared" si="54"/>
        <v>12461380.390045276</v>
      </c>
      <c r="L65" s="54">
        <f t="shared" si="54"/>
        <v>11568872.052985858</v>
      </c>
      <c r="M65" s="55">
        <f t="shared" si="54"/>
        <v>10569165.507536238</v>
      </c>
      <c r="N65" s="17"/>
      <c r="O65" s="17"/>
      <c r="P65" s="17"/>
      <c r="Q65" s="287"/>
      <c r="R65" s="287"/>
      <c r="S65" s="287"/>
      <c r="T65" s="287"/>
      <c r="U65" s="287"/>
      <c r="V65" s="15"/>
      <c r="W65" s="15"/>
      <c r="X65" s="15"/>
    </row>
    <row r="66" spans="1:24" x14ac:dyDescent="0.2">
      <c r="A66" s="24" t="s">
        <v>359</v>
      </c>
      <c r="B66" s="127">
        <f t="shared" ref="B66:M66" si="55">1000*B65/B8</f>
        <v>2277.9219598281829</v>
      </c>
      <c r="C66" s="75">
        <f t="shared" si="55"/>
        <v>2408.9137643687263</v>
      </c>
      <c r="D66" s="411">
        <f t="shared" si="55"/>
        <v>2536.2383801939059</v>
      </c>
      <c r="E66" s="60">
        <f t="shared" si="55"/>
        <v>2619.4219535250731</v>
      </c>
      <c r="F66" s="60">
        <f t="shared" si="55"/>
        <v>2677.0735879389645</v>
      </c>
      <c r="G66" s="307">
        <f t="shared" si="55"/>
        <v>2637.7979147702385</v>
      </c>
      <c r="H66" s="60">
        <f t="shared" si="55"/>
        <v>2538.0450529956433</v>
      </c>
      <c r="I66" s="60">
        <f t="shared" si="55"/>
        <v>2423.592236424226</v>
      </c>
      <c r="J66" s="60">
        <f t="shared" si="55"/>
        <v>2294.2065744894107</v>
      </c>
      <c r="K66" s="60">
        <f t="shared" si="55"/>
        <v>2149.1000696648543</v>
      </c>
      <c r="L66" s="60">
        <f t="shared" si="55"/>
        <v>1987.6893033193521</v>
      </c>
      <c r="M66" s="61">
        <f t="shared" si="55"/>
        <v>1809.2708097340715</v>
      </c>
      <c r="N66" s="14"/>
      <c r="O66" s="14"/>
      <c r="P66" s="14"/>
      <c r="Q66" s="290"/>
      <c r="R66" s="290"/>
      <c r="S66" s="290"/>
      <c r="T66" s="290"/>
      <c r="U66" s="290"/>
      <c r="V66" s="30"/>
      <c r="W66" s="30"/>
      <c r="X66" s="30"/>
    </row>
    <row r="67" spans="1:24" x14ac:dyDescent="0.2">
      <c r="A67" s="41"/>
      <c r="B67" s="195"/>
      <c r="C67" s="109"/>
      <c r="D67" s="109"/>
      <c r="E67" s="109"/>
      <c r="F67" s="109"/>
      <c r="G67" s="295"/>
      <c r="H67" s="109"/>
      <c r="I67" s="109"/>
      <c r="J67" s="109"/>
      <c r="K67" s="109"/>
      <c r="L67" s="109"/>
      <c r="M67" s="109"/>
      <c r="N67" s="14"/>
      <c r="O67" s="14"/>
      <c r="P67" s="14"/>
      <c r="Q67" s="290"/>
      <c r="R67" s="290"/>
      <c r="S67" s="290"/>
      <c r="T67" s="290"/>
      <c r="U67" s="290"/>
      <c r="V67" s="30"/>
      <c r="W67" s="30"/>
      <c r="X67" s="30"/>
    </row>
    <row r="68" spans="1:24" ht="15.75" x14ac:dyDescent="0.25">
      <c r="A68" s="213" t="s">
        <v>457</v>
      </c>
      <c r="B68" s="195"/>
      <c r="C68" s="109"/>
      <c r="D68" s="109"/>
      <c r="E68" s="109"/>
      <c r="F68" s="109"/>
      <c r="G68" s="295"/>
      <c r="H68" s="109"/>
      <c r="I68" s="109"/>
      <c r="J68" s="109"/>
      <c r="K68" s="109"/>
      <c r="L68" s="109"/>
      <c r="M68" s="109"/>
      <c r="N68" s="14"/>
      <c r="O68" s="415" t="s">
        <v>372</v>
      </c>
      <c r="P68" s="427"/>
      <c r="Q68" s="524"/>
      <c r="R68" s="524"/>
      <c r="S68" s="524"/>
      <c r="T68" s="290"/>
      <c r="U68" s="290"/>
      <c r="V68" s="30"/>
      <c r="W68" s="30"/>
      <c r="X68" s="30"/>
    </row>
    <row r="69" spans="1:24" ht="12" x14ac:dyDescent="0.2">
      <c r="A69" s="214" t="s">
        <v>369</v>
      </c>
      <c r="B69" s="129"/>
      <c r="C69" s="330" t="s">
        <v>447</v>
      </c>
      <c r="D69" s="377" t="s">
        <v>321</v>
      </c>
      <c r="E69" s="378"/>
      <c r="F69" s="378"/>
      <c r="G69" s="378"/>
      <c r="H69" s="379"/>
      <c r="I69" s="565" t="s">
        <v>476</v>
      </c>
      <c r="J69" s="380"/>
      <c r="K69" s="378"/>
      <c r="L69" s="378"/>
      <c r="M69" s="379"/>
      <c r="N69" s="14"/>
      <c r="O69" s="415" t="s">
        <v>406</v>
      </c>
      <c r="P69" s="428"/>
      <c r="Q69" s="524"/>
      <c r="R69" s="524"/>
      <c r="S69" s="524"/>
      <c r="T69" s="290"/>
      <c r="U69" s="290"/>
      <c r="V69" s="30"/>
      <c r="W69" s="30"/>
      <c r="X69" s="30"/>
    </row>
    <row r="70" spans="1:24" x14ac:dyDescent="0.2">
      <c r="A70" s="418" t="s">
        <v>4</v>
      </c>
      <c r="B70" s="72"/>
      <c r="C70" s="135">
        <f>((C12/B12)-1)*100</f>
        <v>6.9758956084164936E-2</v>
      </c>
      <c r="D70" s="374">
        <v>-1.4696772067933537</v>
      </c>
      <c r="E70" s="375">
        <v>-0.66417269535342549</v>
      </c>
      <c r="F70" s="375">
        <v>2.0224541230893558</v>
      </c>
      <c r="G70" s="375">
        <v>1.6498446676944545</v>
      </c>
      <c r="H70" s="376">
        <v>0.90421878853461124</v>
      </c>
      <c r="I70" s="385">
        <v>1</v>
      </c>
      <c r="J70" s="381">
        <f t="shared" ref="J70:J71" si="56">I70</f>
        <v>1</v>
      </c>
      <c r="K70" s="381">
        <f t="shared" ref="K70:M70" si="57">J70</f>
        <v>1</v>
      </c>
      <c r="L70" s="381">
        <f t="shared" si="57"/>
        <v>1</v>
      </c>
      <c r="M70" s="382">
        <f t="shared" si="57"/>
        <v>1</v>
      </c>
      <c r="N70" s="138"/>
      <c r="O70" s="1" t="s">
        <v>471</v>
      </c>
      <c r="P70" s="23"/>
      <c r="Q70" s="76"/>
      <c r="R70" s="290"/>
      <c r="S70" s="290"/>
      <c r="T70" s="290"/>
      <c r="U70" s="290"/>
      <c r="V70" s="30"/>
      <c r="W70" s="30"/>
      <c r="X70" s="30"/>
    </row>
    <row r="71" spans="1:24" ht="12.75" x14ac:dyDescent="0.2">
      <c r="A71" s="418" t="s">
        <v>5</v>
      </c>
      <c r="B71" s="72"/>
      <c r="C71" s="135">
        <f>((C13/B13)-1)*100</f>
        <v>0.97426312752639799</v>
      </c>
      <c r="D71" s="374">
        <v>4.8506917808902479</v>
      </c>
      <c r="E71" s="375">
        <v>2.9595336826157093</v>
      </c>
      <c r="F71" s="375">
        <v>2.7153388118004012</v>
      </c>
      <c r="G71" s="375">
        <v>2.4283275522030805</v>
      </c>
      <c r="H71" s="376">
        <v>1.8427089000340038</v>
      </c>
      <c r="I71" s="386">
        <v>2</v>
      </c>
      <c r="J71" s="383">
        <f t="shared" si="56"/>
        <v>2</v>
      </c>
      <c r="K71" s="383">
        <f t="shared" ref="K71:M71" si="58">J71</f>
        <v>2</v>
      </c>
      <c r="L71" s="383">
        <f t="shared" si="58"/>
        <v>2</v>
      </c>
      <c r="M71" s="384">
        <f t="shared" si="58"/>
        <v>2</v>
      </c>
      <c r="N71" s="138"/>
      <c r="O71" s="1" t="s">
        <v>471</v>
      </c>
      <c r="P71" s="137"/>
      <c r="Q71" s="76"/>
      <c r="R71" s="290"/>
      <c r="S71" s="290"/>
      <c r="T71" s="290"/>
      <c r="U71" s="290"/>
      <c r="V71" s="30"/>
      <c r="W71" s="30"/>
      <c r="X71" s="30"/>
    </row>
    <row r="72" spans="1:24" ht="12.75" x14ac:dyDescent="0.2">
      <c r="A72" s="418" t="s">
        <v>15</v>
      </c>
      <c r="B72" s="72"/>
      <c r="C72" s="135">
        <f>((C15/B15)-1)*100</f>
        <v>1.4767686695113635</v>
      </c>
      <c r="D72" s="412">
        <f>((D15/C15)-1)*100</f>
        <v>7.4570956878456274</v>
      </c>
      <c r="E72" s="413">
        <f t="shared" ref="E72:M72" si="59">((E15/D15)-1)*100</f>
        <v>4.3325982693416476</v>
      </c>
      <c r="F72" s="413">
        <f t="shared" si="59"/>
        <v>2.9921695857279218</v>
      </c>
      <c r="G72" s="413">
        <f t="shared" si="59"/>
        <v>2.7281418550352043</v>
      </c>
      <c r="H72" s="413">
        <f t="shared" si="59"/>
        <v>2.1869922861779134</v>
      </c>
      <c r="I72" s="413">
        <f t="shared" si="59"/>
        <v>2.3624595708704899</v>
      </c>
      <c r="J72" s="413">
        <f t="shared" si="59"/>
        <v>2.357409724415982</v>
      </c>
      <c r="K72" s="413">
        <f t="shared" si="59"/>
        <v>2.3524496829373298</v>
      </c>
      <c r="L72" s="413">
        <f t="shared" si="59"/>
        <v>2.3475773347383155</v>
      </c>
      <c r="M72" s="414">
        <f t="shared" si="59"/>
        <v>2.34279063226428</v>
      </c>
      <c r="N72" s="138"/>
      <c r="O72" s="495" t="s">
        <v>455</v>
      </c>
      <c r="P72" s="137"/>
      <c r="Q72" s="76"/>
      <c r="R72" s="290"/>
      <c r="S72" s="290"/>
      <c r="T72" s="290"/>
      <c r="U72" s="290"/>
      <c r="V72" s="30"/>
      <c r="W72" s="30"/>
      <c r="X72" s="30"/>
    </row>
    <row r="73" spans="1:24" x14ac:dyDescent="0.2">
      <c r="A73" s="419" t="s">
        <v>13</v>
      </c>
      <c r="B73" s="72"/>
      <c r="C73" s="135">
        <f>((C16/B16)-1)*100</f>
        <v>-3.2862100861908439</v>
      </c>
      <c r="D73" s="390">
        <v>0.86202557246129086</v>
      </c>
      <c r="E73" s="391">
        <v>6.03234447861891</v>
      </c>
      <c r="F73" s="391">
        <v>3.6025077196593993</v>
      </c>
      <c r="G73" s="391">
        <v>4.4707369942196529</v>
      </c>
      <c r="H73" s="392">
        <v>4.1238004668453359</v>
      </c>
      <c r="I73" s="394">
        <v>2.5</v>
      </c>
      <c r="J73" s="380">
        <f t="shared" ref="J73:M76" si="60">I73</f>
        <v>2.5</v>
      </c>
      <c r="K73" s="380">
        <f t="shared" si="60"/>
        <v>2.5</v>
      </c>
      <c r="L73" s="380">
        <f t="shared" si="60"/>
        <v>2.5</v>
      </c>
      <c r="M73" s="395">
        <f t="shared" si="60"/>
        <v>2.5</v>
      </c>
      <c r="N73" s="138"/>
      <c r="O73" s="1" t="s">
        <v>473</v>
      </c>
      <c r="P73" s="23"/>
      <c r="Q73" s="14"/>
      <c r="R73" s="290"/>
      <c r="S73" s="290"/>
      <c r="T73" s="290"/>
      <c r="U73" s="290"/>
      <c r="V73" s="30"/>
      <c r="W73" s="30"/>
      <c r="X73" s="30"/>
    </row>
    <row r="74" spans="1:24" x14ac:dyDescent="0.2">
      <c r="A74" s="419" t="s">
        <v>358</v>
      </c>
      <c r="B74" s="72"/>
      <c r="C74" s="135">
        <f>((C17/B17)-1)*100</f>
        <v>-14.474138444631423</v>
      </c>
      <c r="D74" s="374">
        <v>-7.3975603188646462</v>
      </c>
      <c r="E74" s="375">
        <v>6.2309102015882711</v>
      </c>
      <c r="F74" s="375">
        <v>5.7504312823461756</v>
      </c>
      <c r="G74" s="375">
        <v>4.0783034257748776</v>
      </c>
      <c r="H74" s="389">
        <v>3.5005224660397074</v>
      </c>
      <c r="I74" s="385">
        <v>2.5</v>
      </c>
      <c r="J74" s="381">
        <f t="shared" si="60"/>
        <v>2.5</v>
      </c>
      <c r="K74" s="381">
        <f t="shared" si="60"/>
        <v>2.5</v>
      </c>
      <c r="L74" s="381">
        <f t="shared" si="60"/>
        <v>2.5</v>
      </c>
      <c r="M74" s="382">
        <f t="shared" si="60"/>
        <v>2.5</v>
      </c>
      <c r="N74" s="138"/>
      <c r="O74" s="1" t="s">
        <v>473</v>
      </c>
      <c r="P74" s="23"/>
      <c r="Q74" s="76"/>
      <c r="R74" s="290"/>
      <c r="S74" s="290"/>
      <c r="T74" s="290"/>
      <c r="U74" s="290"/>
      <c r="V74" s="30"/>
      <c r="W74" s="30"/>
      <c r="X74" s="30"/>
    </row>
    <row r="75" spans="1:24" x14ac:dyDescent="0.2">
      <c r="A75" s="419" t="s">
        <v>2</v>
      </c>
      <c r="B75" s="72"/>
      <c r="C75" s="135">
        <f>((C18/B18)-1)*100</f>
        <v>6.7077519010524611</v>
      </c>
      <c r="D75" s="374">
        <v>0.77138092781649603</v>
      </c>
      <c r="E75" s="375">
        <v>1.1479591836734695</v>
      </c>
      <c r="F75" s="375">
        <v>2.0596889449348463</v>
      </c>
      <c r="G75" s="375">
        <v>3.4184514003294892</v>
      </c>
      <c r="H75" s="389">
        <v>2.6682596575069693</v>
      </c>
      <c r="I75" s="385">
        <v>2.5</v>
      </c>
      <c r="J75" s="381">
        <f t="shared" si="60"/>
        <v>2.5</v>
      </c>
      <c r="K75" s="381">
        <f t="shared" si="60"/>
        <v>2.5</v>
      </c>
      <c r="L75" s="381">
        <f t="shared" si="60"/>
        <v>2.5</v>
      </c>
      <c r="M75" s="382">
        <f t="shared" si="60"/>
        <v>2.5</v>
      </c>
      <c r="N75" s="138"/>
      <c r="O75" s="1" t="s">
        <v>473</v>
      </c>
      <c r="P75" s="23"/>
      <c r="Q75" s="76"/>
      <c r="R75" s="290"/>
      <c r="S75" s="290"/>
      <c r="T75" s="290"/>
      <c r="U75" s="290"/>
      <c r="V75" s="30"/>
      <c r="W75" s="30"/>
      <c r="X75" s="30"/>
    </row>
    <row r="76" spans="1:24" x14ac:dyDescent="0.2">
      <c r="A76" s="420" t="s">
        <v>325</v>
      </c>
      <c r="B76" s="73"/>
      <c r="C76" s="136">
        <f>((C20/B20)-1)*100</f>
        <v>-6.46347735753886</v>
      </c>
      <c r="D76" s="387">
        <f>((D20/C20)-1)*100</f>
        <v>19.136258635796555</v>
      </c>
      <c r="E76" s="388">
        <f t="shared" ref="E76:H76" si="61">((E20/D20)-1)*100</f>
        <v>4.6054863194624485</v>
      </c>
      <c r="F76" s="388">
        <f t="shared" si="61"/>
        <v>2.6409680927135692</v>
      </c>
      <c r="G76" s="388">
        <f t="shared" si="61"/>
        <v>8.1513306136102202</v>
      </c>
      <c r="H76" s="393">
        <f t="shared" si="61"/>
        <v>2.3127780355033822</v>
      </c>
      <c r="I76" s="386">
        <v>1.5</v>
      </c>
      <c r="J76" s="383">
        <f t="shared" si="60"/>
        <v>1.5</v>
      </c>
      <c r="K76" s="383">
        <f t="shared" si="60"/>
        <v>1.5</v>
      </c>
      <c r="L76" s="383">
        <f t="shared" si="60"/>
        <v>1.5</v>
      </c>
      <c r="M76" s="384">
        <f t="shared" si="60"/>
        <v>1.5</v>
      </c>
      <c r="N76" s="138"/>
      <c r="O76" s="81" t="s">
        <v>472</v>
      </c>
      <c r="P76" s="23"/>
      <c r="Q76" s="76"/>
      <c r="R76" s="290"/>
      <c r="S76" s="290"/>
      <c r="T76" s="290"/>
      <c r="U76" s="290"/>
      <c r="V76" s="30"/>
      <c r="W76" s="30"/>
      <c r="X76" s="30"/>
    </row>
    <row r="77" spans="1:24" ht="15.75" x14ac:dyDescent="0.25">
      <c r="A77" s="87" t="s">
        <v>328</v>
      </c>
      <c r="B77" s="131"/>
      <c r="C77" s="86"/>
      <c r="D77" s="113"/>
      <c r="E77" s="257"/>
      <c r="F77" s="86"/>
      <c r="G77" s="86"/>
      <c r="H77" s="86"/>
      <c r="I77" s="86"/>
      <c r="J77" s="86"/>
      <c r="K77" s="86"/>
      <c r="L77" s="86"/>
      <c r="M77" s="86"/>
      <c r="N77" s="14"/>
      <c r="O77" s="14"/>
      <c r="P77" s="14"/>
      <c r="Q77" s="290"/>
      <c r="R77" s="290"/>
      <c r="S77" s="290"/>
      <c r="T77" s="290"/>
      <c r="U77" s="290"/>
      <c r="V77" s="30"/>
      <c r="W77" s="30"/>
      <c r="X77" s="30"/>
    </row>
    <row r="78" spans="1:24" s="5" customFormat="1" ht="12.75" x14ac:dyDescent="0.2">
      <c r="A78" s="231" t="s">
        <v>356</v>
      </c>
      <c r="B78" s="232"/>
      <c r="C78" s="232"/>
      <c r="D78" s="232"/>
      <c r="E78" s="183"/>
      <c r="H78" s="237">
        <v>8</v>
      </c>
      <c r="I78" s="233" t="s">
        <v>348</v>
      </c>
      <c r="J78" s="233"/>
      <c r="K78" s="233"/>
      <c r="L78" s="233"/>
      <c r="M78" s="233"/>
      <c r="N78" s="234"/>
      <c r="O78" s="234"/>
      <c r="P78" s="234"/>
      <c r="Q78" s="234"/>
      <c r="R78" s="234"/>
      <c r="S78" s="234"/>
      <c r="T78" s="234"/>
      <c r="U78" s="234"/>
      <c r="V78" s="114"/>
      <c r="W78" s="114"/>
      <c r="X78" s="114"/>
    </row>
    <row r="79" spans="1:24" s="5" customFormat="1" ht="12.75" x14ac:dyDescent="0.2">
      <c r="A79" s="231" t="s">
        <v>357</v>
      </c>
      <c r="B79" s="232"/>
      <c r="C79" s="232"/>
      <c r="D79" s="232"/>
      <c r="E79" s="183"/>
      <c r="H79" s="238">
        <v>2.5</v>
      </c>
      <c r="I79" s="233" t="s">
        <v>347</v>
      </c>
      <c r="J79" s="233"/>
      <c r="K79" s="233"/>
      <c r="M79" s="233"/>
      <c r="N79" s="234"/>
      <c r="O79" s="234"/>
      <c r="P79" s="234"/>
      <c r="Q79" s="234"/>
      <c r="R79" s="234"/>
      <c r="S79" s="234"/>
      <c r="T79" s="234"/>
      <c r="U79" s="234"/>
      <c r="V79" s="114"/>
      <c r="W79" s="114"/>
      <c r="X79" s="114"/>
    </row>
    <row r="80" spans="1:24" s="5" customFormat="1" ht="12.75" x14ac:dyDescent="0.2">
      <c r="A80" s="236" t="s">
        <v>477</v>
      </c>
      <c r="B80" s="235"/>
      <c r="C80" s="235"/>
      <c r="D80" s="235"/>
      <c r="E80" s="235"/>
      <c r="H80" s="239">
        <v>0.1</v>
      </c>
      <c r="I80" s="432" t="s">
        <v>478</v>
      </c>
      <c r="J80" s="44"/>
      <c r="K80" s="44"/>
      <c r="L80" s="44"/>
      <c r="M80" s="44"/>
      <c r="N80" s="230"/>
      <c r="O80" s="230"/>
      <c r="P80" s="230"/>
      <c r="Q80" s="234"/>
      <c r="R80" s="234"/>
      <c r="S80" s="234"/>
      <c r="T80" s="234"/>
      <c r="U80" s="234"/>
      <c r="V80" s="114"/>
      <c r="W80" s="114"/>
      <c r="X80" s="114"/>
    </row>
    <row r="81" spans="1:24" s="5" customFormat="1" x14ac:dyDescent="0.2">
      <c r="A81" s="566"/>
      <c r="B81" s="230"/>
      <c r="C81" s="230"/>
      <c r="D81" s="230"/>
      <c r="E81" s="230"/>
      <c r="F81" s="230"/>
      <c r="G81" s="230"/>
      <c r="H81" s="230"/>
      <c r="I81" s="230"/>
      <c r="J81" s="230"/>
      <c r="K81" s="230"/>
      <c r="L81" s="230"/>
      <c r="M81" s="230"/>
      <c r="N81" s="230"/>
      <c r="O81" s="230"/>
      <c r="P81" s="230"/>
      <c r="Q81" s="234"/>
      <c r="R81" s="234"/>
      <c r="S81" s="234"/>
      <c r="T81" s="234"/>
      <c r="U81" s="234"/>
      <c r="V81" s="114"/>
      <c r="W81" s="114"/>
      <c r="X81" s="114"/>
    </row>
    <row r="82" spans="1:24" ht="12" x14ac:dyDescent="0.2">
      <c r="A82" s="111"/>
      <c r="B82" s="13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290"/>
      <c r="R82" s="290"/>
      <c r="S82" s="290"/>
      <c r="T82" s="290"/>
      <c r="U82" s="290"/>
      <c r="V82" s="30"/>
      <c r="W82" s="30"/>
      <c r="X82" s="30"/>
    </row>
    <row r="83" spans="1:24" x14ac:dyDescent="0.2">
      <c r="A83" s="101"/>
      <c r="B83" s="108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52"/>
      <c r="O83" s="52"/>
      <c r="P83" s="52"/>
      <c r="Q83" s="290"/>
      <c r="R83" s="290"/>
      <c r="S83" s="290"/>
      <c r="T83" s="290"/>
      <c r="U83" s="290"/>
      <c r="V83" s="30"/>
      <c r="W83" s="30"/>
      <c r="X83" s="30"/>
    </row>
    <row r="84" spans="1:24" x14ac:dyDescent="0.2">
      <c r="A84" s="101"/>
      <c r="B84" s="108"/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52"/>
      <c r="O84" s="52"/>
      <c r="P84" s="52"/>
      <c r="Q84" s="290"/>
      <c r="R84" s="290"/>
      <c r="S84" s="290"/>
      <c r="T84" s="290"/>
      <c r="U84" s="290"/>
      <c r="V84" s="30"/>
      <c r="W84" s="30"/>
      <c r="X84" s="30"/>
    </row>
    <row r="85" spans="1:24" x14ac:dyDescent="0.2">
      <c r="A85" s="201"/>
      <c r="B85" s="102"/>
      <c r="C85" s="102"/>
      <c r="D85" s="102"/>
      <c r="E85" s="102"/>
      <c r="F85" s="102"/>
      <c r="G85" s="102"/>
      <c r="H85" s="102"/>
      <c r="I85" s="102"/>
      <c r="J85" s="102"/>
      <c r="K85" s="102"/>
      <c r="L85" s="102"/>
      <c r="M85" s="102"/>
      <c r="N85" s="152"/>
      <c r="O85" s="52"/>
      <c r="P85" s="52"/>
      <c r="Q85" s="290"/>
      <c r="R85" s="290"/>
      <c r="S85" s="290"/>
      <c r="T85" s="290"/>
      <c r="U85" s="290"/>
      <c r="V85" s="30"/>
      <c r="W85" s="30"/>
      <c r="X85" s="30"/>
    </row>
    <row r="86" spans="1:24" s="147" customFormat="1" x14ac:dyDescent="0.2">
      <c r="A86" s="102"/>
      <c r="B86" s="103" t="str">
        <f>B5</f>
        <v>TP 2023</v>
      </c>
      <c r="C86" s="103" t="str">
        <f t="shared" ref="C86:M86" si="62">C5</f>
        <v>TP 2024</v>
      </c>
      <c r="D86" s="103">
        <f t="shared" si="62"/>
        <v>2025</v>
      </c>
      <c r="E86" s="103">
        <f t="shared" si="62"/>
        <v>2026</v>
      </c>
      <c r="F86" s="103">
        <f t="shared" si="62"/>
        <v>2027</v>
      </c>
      <c r="G86" s="103">
        <f t="shared" si="62"/>
        <v>2028</v>
      </c>
      <c r="H86" s="103">
        <f t="shared" si="62"/>
        <v>2029</v>
      </c>
      <c r="I86" s="103">
        <f t="shared" si="62"/>
        <v>2030</v>
      </c>
      <c r="J86" s="103">
        <f t="shared" si="62"/>
        <v>2031</v>
      </c>
      <c r="K86" s="103">
        <f t="shared" si="62"/>
        <v>2032</v>
      </c>
      <c r="L86" s="103">
        <f t="shared" si="62"/>
        <v>2033</v>
      </c>
      <c r="M86" s="103">
        <f t="shared" si="62"/>
        <v>2034</v>
      </c>
      <c r="N86" s="196"/>
      <c r="O86" s="196"/>
      <c r="P86" s="152"/>
      <c r="Q86" s="525"/>
      <c r="R86" s="525"/>
      <c r="S86" s="525"/>
      <c r="T86" s="525"/>
      <c r="U86" s="525"/>
      <c r="V86" s="153"/>
      <c r="W86" s="153"/>
      <c r="X86" s="153"/>
    </row>
    <row r="87" spans="1:24" s="147" customFormat="1" x14ac:dyDescent="0.2">
      <c r="A87" s="102" t="s">
        <v>32</v>
      </c>
      <c r="B87" s="102">
        <f>B27</f>
        <v>759.65661943261705</v>
      </c>
      <c r="C87" s="102">
        <f t="shared" ref="C87:M87" si="63">C27</f>
        <v>582.03737294072687</v>
      </c>
      <c r="D87" s="102">
        <f t="shared" si="63"/>
        <v>507.25354481400018</v>
      </c>
      <c r="E87" s="102">
        <f t="shared" si="63"/>
        <v>546.57688604032637</v>
      </c>
      <c r="F87" s="102">
        <f t="shared" si="63"/>
        <v>571.05626719618067</v>
      </c>
      <c r="G87" s="102">
        <f t="shared" si="63"/>
        <v>664.34080180029662</v>
      </c>
      <c r="H87" s="102">
        <f t="shared" si="63"/>
        <v>723.03937264300987</v>
      </c>
      <c r="I87" s="102">
        <f t="shared" si="63"/>
        <v>735.57558076925238</v>
      </c>
      <c r="J87" s="102">
        <f t="shared" si="63"/>
        <v>748.81813170557621</v>
      </c>
      <c r="K87" s="102">
        <f t="shared" si="63"/>
        <v>762.78423176572119</v>
      </c>
      <c r="L87" s="102">
        <f t="shared" si="63"/>
        <v>777.49619564946636</v>
      </c>
      <c r="M87" s="102">
        <f t="shared" si="63"/>
        <v>792.98331258841324</v>
      </c>
      <c r="N87" s="196"/>
      <c r="O87" s="196"/>
      <c r="P87" s="152"/>
      <c r="Q87" s="525"/>
      <c r="R87" s="525"/>
      <c r="S87" s="525"/>
      <c r="T87" s="525"/>
      <c r="U87" s="525"/>
      <c r="V87" s="153"/>
      <c r="W87" s="153"/>
      <c r="X87" s="153"/>
    </row>
    <row r="88" spans="1:24" s="147" customFormat="1" x14ac:dyDescent="0.2">
      <c r="A88" s="102" t="s">
        <v>16</v>
      </c>
      <c r="B88" s="102">
        <f>1000*B28/B8</f>
        <v>447.67197974453245</v>
      </c>
      <c r="C88" s="102">
        <f t="shared" ref="C88:M88" si="64">1000*C28/C8</f>
        <v>459.00978553398488</v>
      </c>
      <c r="D88" s="102">
        <f t="shared" si="64"/>
        <v>458.89480293135239</v>
      </c>
      <c r="E88" s="102">
        <f t="shared" si="64"/>
        <v>459.20329061127865</v>
      </c>
      <c r="F88" s="102">
        <f t="shared" si="64"/>
        <v>459.54387005752142</v>
      </c>
      <c r="G88" s="102">
        <f t="shared" si="64"/>
        <v>459.91648921432551</v>
      </c>
      <c r="H88" s="102">
        <f t="shared" si="64"/>
        <v>460.32521372278137</v>
      </c>
      <c r="I88" s="102">
        <f t="shared" si="64"/>
        <v>460.77064563919191</v>
      </c>
      <c r="J88" s="102">
        <f t="shared" si="64"/>
        <v>461.25749153389415</v>
      </c>
      <c r="K88" s="102">
        <f t="shared" si="64"/>
        <v>461.78636100398057</v>
      </c>
      <c r="L88" s="102">
        <f t="shared" si="64"/>
        <v>462.35351233581326</v>
      </c>
      <c r="M88" s="102">
        <f t="shared" si="64"/>
        <v>462.96229046745736</v>
      </c>
      <c r="N88" s="196"/>
      <c r="O88" s="196"/>
      <c r="P88" s="152"/>
      <c r="Q88" s="525"/>
      <c r="R88" s="525"/>
      <c r="S88" s="525"/>
      <c r="T88" s="525"/>
      <c r="U88" s="525"/>
      <c r="V88" s="153"/>
      <c r="W88" s="153"/>
      <c r="X88" s="153"/>
    </row>
    <row r="89" spans="1:24" s="147" customFormat="1" x14ac:dyDescent="0.2">
      <c r="A89" s="102" t="s">
        <v>0</v>
      </c>
      <c r="B89" s="102">
        <f t="shared" ref="B89:M89" si="65">-1000*B48/B8</f>
        <v>661.8005600119144</v>
      </c>
      <c r="C89" s="102">
        <f t="shared" si="65"/>
        <v>643.10244332122488</v>
      </c>
      <c r="D89" s="102">
        <f t="shared" si="65"/>
        <v>647.16324037865991</v>
      </c>
      <c r="E89" s="102">
        <f t="shared" si="65"/>
        <v>640.68208096260787</v>
      </c>
      <c r="F89" s="102">
        <f t="shared" si="65"/>
        <v>639.80675819766975</v>
      </c>
      <c r="G89" s="102">
        <f t="shared" si="65"/>
        <v>636.22400864651104</v>
      </c>
      <c r="H89" s="102">
        <f t="shared" si="65"/>
        <v>634.07735400602382</v>
      </c>
      <c r="I89" s="102">
        <f t="shared" si="65"/>
        <v>631.30614306864061</v>
      </c>
      <c r="J89" s="102">
        <f t="shared" si="65"/>
        <v>628.94213803742571</v>
      </c>
      <c r="K89" s="102">
        <f t="shared" si="65"/>
        <v>626.47428141226601</v>
      </c>
      <c r="L89" s="102">
        <f t="shared" si="65"/>
        <v>624.15114467377703</v>
      </c>
      <c r="M89" s="102">
        <f t="shared" si="65"/>
        <v>621.84966256728512</v>
      </c>
      <c r="N89" s="196"/>
      <c r="O89" s="196"/>
      <c r="P89" s="152"/>
      <c r="Q89" s="525"/>
      <c r="R89" s="525"/>
      <c r="S89" s="525"/>
      <c r="T89" s="525"/>
      <c r="U89" s="525"/>
      <c r="V89" s="153"/>
      <c r="W89" s="153"/>
      <c r="X89" s="153"/>
    </row>
    <row r="90" spans="1:24" x14ac:dyDescent="0.2">
      <c r="A90" s="230"/>
      <c r="B90" s="230"/>
      <c r="C90" s="230"/>
      <c r="D90" s="230"/>
      <c r="E90" s="230"/>
      <c r="F90" s="230"/>
      <c r="G90" s="230"/>
      <c r="H90" s="230"/>
      <c r="I90" s="230"/>
      <c r="J90" s="230"/>
      <c r="K90" s="230"/>
      <c r="L90" s="230"/>
      <c r="M90" s="230"/>
      <c r="N90" s="196"/>
      <c r="O90" s="196"/>
      <c r="P90" s="52"/>
      <c r="Q90" s="290"/>
      <c r="R90" s="290"/>
      <c r="S90" s="290"/>
      <c r="T90" s="290"/>
      <c r="U90" s="290"/>
      <c r="V90" s="30"/>
      <c r="W90" s="30"/>
      <c r="X90" s="30"/>
    </row>
    <row r="91" spans="1:24" x14ac:dyDescent="0.2">
      <c r="A91" s="196"/>
      <c r="B91" s="196"/>
      <c r="C91" s="196"/>
      <c r="D91" s="196"/>
      <c r="E91" s="196"/>
      <c r="F91" s="196"/>
      <c r="G91" s="196"/>
      <c r="H91" s="196"/>
      <c r="I91" s="196"/>
      <c r="J91" s="196"/>
      <c r="K91" s="196"/>
      <c r="L91" s="197"/>
      <c r="M91" s="198"/>
      <c r="N91" s="196"/>
      <c r="O91" s="196"/>
      <c r="P91" s="52"/>
      <c r="Q91" s="290"/>
      <c r="R91" s="290"/>
      <c r="S91" s="290"/>
      <c r="T91" s="290"/>
      <c r="U91" s="290"/>
      <c r="V91" s="30"/>
      <c r="W91" s="30"/>
      <c r="X91" s="30"/>
    </row>
    <row r="92" spans="1:24" x14ac:dyDescent="0.2">
      <c r="A92" s="196"/>
      <c r="B92" s="196"/>
      <c r="C92" s="196"/>
      <c r="D92" s="196"/>
      <c r="E92" s="196"/>
      <c r="F92" s="196"/>
      <c r="G92" s="196"/>
      <c r="H92" s="196"/>
      <c r="I92" s="196"/>
      <c r="J92" s="196"/>
      <c r="K92" s="196"/>
      <c r="L92" s="196"/>
      <c r="M92" s="196"/>
      <c r="N92" s="148"/>
      <c r="O92" s="52"/>
      <c r="P92" s="52"/>
      <c r="Q92" s="290"/>
      <c r="R92" s="290"/>
      <c r="S92" s="290"/>
      <c r="T92" s="290"/>
      <c r="U92" s="290"/>
      <c r="V92" s="30"/>
      <c r="W92" s="30"/>
      <c r="X92" s="30"/>
    </row>
    <row r="93" spans="1:24" x14ac:dyDescent="0.2">
      <c r="A93" s="52"/>
      <c r="B93" s="132"/>
      <c r="C93" s="52"/>
      <c r="D93" s="52"/>
      <c r="E93" s="52"/>
      <c r="F93" s="52"/>
      <c r="G93" s="52"/>
      <c r="H93" s="52"/>
      <c r="I93" s="52"/>
      <c r="J93" s="52"/>
      <c r="K93" s="52"/>
      <c r="L93" s="105"/>
      <c r="M93" s="82"/>
      <c r="N93" s="82"/>
      <c r="O93" s="82"/>
      <c r="P93" s="82"/>
      <c r="Q93" s="290"/>
      <c r="R93" s="290"/>
      <c r="S93" s="290"/>
      <c r="T93" s="290"/>
      <c r="U93" s="290"/>
      <c r="V93" s="30"/>
      <c r="W93" s="30"/>
      <c r="X93" s="30"/>
    </row>
    <row r="94" spans="1:24" x14ac:dyDescent="0.2">
      <c r="A94" s="52"/>
      <c r="B94" s="132"/>
      <c r="C94" s="52"/>
      <c r="D94" s="52"/>
      <c r="E94" s="52"/>
      <c r="F94" s="52"/>
      <c r="G94" s="52"/>
      <c r="H94" s="52"/>
      <c r="I94" s="52"/>
      <c r="J94" s="52"/>
      <c r="K94" s="52"/>
      <c r="L94" s="106"/>
      <c r="M94" s="82"/>
      <c r="N94" s="82"/>
      <c r="O94" s="82"/>
      <c r="P94" s="82"/>
      <c r="Q94" s="290"/>
      <c r="R94" s="290"/>
      <c r="S94" s="290"/>
      <c r="T94" s="290"/>
      <c r="U94" s="290"/>
      <c r="V94" s="30"/>
      <c r="W94" s="30"/>
      <c r="X94" s="30"/>
    </row>
    <row r="95" spans="1:24" x14ac:dyDescent="0.2">
      <c r="A95" s="52"/>
      <c r="B95" s="132"/>
      <c r="C95" s="52"/>
      <c r="D95" s="52"/>
      <c r="E95" s="52"/>
      <c r="F95" s="52"/>
      <c r="G95" s="52"/>
      <c r="H95" s="52"/>
      <c r="I95" s="52"/>
      <c r="J95" s="52"/>
      <c r="K95" s="52"/>
      <c r="L95" s="104"/>
      <c r="M95" s="82"/>
      <c r="N95" s="82"/>
      <c r="O95" s="82"/>
      <c r="P95" s="82"/>
      <c r="Q95" s="290"/>
      <c r="R95" s="290"/>
      <c r="S95" s="290"/>
      <c r="T95" s="290"/>
      <c r="U95" s="290"/>
      <c r="V95" s="30"/>
      <c r="W95" s="30"/>
      <c r="X95" s="30"/>
    </row>
    <row r="96" spans="1:24" x14ac:dyDescent="0.2">
      <c r="A96" s="52"/>
      <c r="B96" s="13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290"/>
      <c r="R96" s="290"/>
      <c r="S96" s="290"/>
      <c r="T96" s="290"/>
      <c r="U96" s="290"/>
      <c r="V96" s="30"/>
      <c r="W96" s="30"/>
      <c r="X96" s="30"/>
    </row>
    <row r="97" spans="1:24" x14ac:dyDescent="0.2">
      <c r="A97" s="52"/>
      <c r="B97" s="132"/>
      <c r="C97" s="52"/>
      <c r="D97" s="52"/>
      <c r="E97" s="52"/>
      <c r="F97" s="52"/>
      <c r="G97" s="52"/>
      <c r="H97" s="52"/>
      <c r="I97" s="52"/>
      <c r="J97" s="52"/>
      <c r="K97" s="52"/>
      <c r="L97" s="105"/>
      <c r="M97" s="82"/>
      <c r="N97" s="82"/>
      <c r="O97" s="82"/>
      <c r="P97" s="82"/>
      <c r="Q97" s="290"/>
      <c r="R97" s="290"/>
      <c r="S97" s="290"/>
      <c r="T97" s="290"/>
      <c r="U97" s="290"/>
      <c r="V97" s="30"/>
      <c r="W97" s="30"/>
      <c r="X97" s="30"/>
    </row>
    <row r="98" spans="1:24" x14ac:dyDescent="0.2">
      <c r="A98" s="52"/>
      <c r="B98" s="132"/>
      <c r="C98" s="52"/>
      <c r="D98" s="52"/>
      <c r="E98" s="52"/>
      <c r="F98" s="52"/>
      <c r="G98" s="52"/>
      <c r="H98" s="52"/>
      <c r="I98" s="52"/>
      <c r="J98" s="52"/>
      <c r="K98" s="52"/>
      <c r="L98" s="106"/>
      <c r="M98" s="82"/>
      <c r="N98" s="82"/>
      <c r="O98" s="82"/>
      <c r="P98" s="82"/>
      <c r="Q98" s="290"/>
      <c r="R98" s="290"/>
      <c r="S98" s="290"/>
      <c r="T98" s="290"/>
      <c r="U98" s="290"/>
      <c r="V98" s="30"/>
      <c r="W98" s="30"/>
      <c r="X98" s="30"/>
    </row>
    <row r="99" spans="1:24" x14ac:dyDescent="0.2">
      <c r="A99" s="52"/>
      <c r="B99" s="13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290"/>
      <c r="R99" s="290"/>
      <c r="S99" s="290"/>
      <c r="T99" s="290"/>
      <c r="U99" s="290"/>
      <c r="V99" s="30"/>
      <c r="W99" s="30"/>
      <c r="X99" s="30"/>
    </row>
    <row r="100" spans="1:24" x14ac:dyDescent="0.2">
      <c r="A100" s="52"/>
      <c r="B100" s="13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290"/>
      <c r="R100" s="290"/>
      <c r="S100" s="290"/>
      <c r="T100" s="290"/>
      <c r="U100" s="290"/>
      <c r="V100" s="30"/>
      <c r="W100" s="30"/>
      <c r="X100" s="30"/>
    </row>
    <row r="101" spans="1:24" x14ac:dyDescent="0.2">
      <c r="A101" s="52"/>
      <c r="B101" s="13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290"/>
      <c r="R101" s="290"/>
      <c r="S101" s="290"/>
      <c r="T101" s="290"/>
      <c r="U101" s="290"/>
      <c r="V101" s="30"/>
      <c r="W101" s="30"/>
      <c r="X101" s="30"/>
    </row>
    <row r="102" spans="1:24" x14ac:dyDescent="0.2">
      <c r="A102" s="52"/>
      <c r="B102" s="13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290"/>
      <c r="R102" s="290"/>
      <c r="S102" s="290"/>
      <c r="T102" s="290"/>
      <c r="U102" s="290"/>
      <c r="V102" s="30"/>
      <c r="W102" s="30"/>
      <c r="X102" s="30"/>
    </row>
    <row r="103" spans="1:24" x14ac:dyDescent="0.2">
      <c r="A103" s="52"/>
      <c r="B103" s="13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290"/>
      <c r="R103" s="290"/>
      <c r="S103" s="290"/>
      <c r="T103" s="290"/>
      <c r="U103" s="290"/>
      <c r="V103" s="30"/>
      <c r="W103" s="30"/>
      <c r="X103" s="30"/>
    </row>
    <row r="104" spans="1:24" x14ac:dyDescent="0.2">
      <c r="A104" s="52"/>
      <c r="B104" s="13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290"/>
      <c r="R104" s="290"/>
      <c r="S104" s="290"/>
      <c r="T104" s="290"/>
      <c r="U104" s="290"/>
      <c r="V104" s="30"/>
      <c r="W104" s="30"/>
      <c r="X104" s="30"/>
    </row>
    <row r="105" spans="1:24" x14ac:dyDescent="0.2">
      <c r="A105" s="52"/>
      <c r="B105" s="13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290"/>
      <c r="R105" s="290"/>
      <c r="S105" s="290"/>
      <c r="T105" s="290"/>
      <c r="U105" s="290"/>
      <c r="V105" s="30"/>
      <c r="W105" s="30"/>
      <c r="X105" s="30"/>
    </row>
    <row r="106" spans="1:24" x14ac:dyDescent="0.2">
      <c r="A106" s="52"/>
      <c r="B106" s="13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290"/>
      <c r="R106" s="290"/>
      <c r="S106" s="290"/>
      <c r="T106" s="290"/>
      <c r="U106" s="290"/>
      <c r="V106" s="30"/>
      <c r="W106" s="30"/>
      <c r="X106" s="30"/>
    </row>
    <row r="107" spans="1:24" x14ac:dyDescent="0.2">
      <c r="A107" s="52"/>
      <c r="B107" s="13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290"/>
      <c r="R107" s="290"/>
      <c r="S107" s="290"/>
      <c r="T107" s="290"/>
      <c r="U107" s="290"/>
      <c r="V107" s="30"/>
      <c r="W107" s="30"/>
      <c r="X107" s="30"/>
    </row>
    <row r="108" spans="1:24" x14ac:dyDescent="0.2">
      <c r="A108" s="52"/>
      <c r="B108" s="13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290"/>
      <c r="R108" s="290"/>
      <c r="S108" s="290"/>
      <c r="T108" s="290"/>
      <c r="U108" s="290"/>
      <c r="V108" s="30"/>
      <c r="W108" s="30"/>
      <c r="X108" s="30"/>
    </row>
    <row r="109" spans="1:24" x14ac:dyDescent="0.2">
      <c r="A109" s="52"/>
      <c r="B109" s="13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290"/>
      <c r="R109" s="290"/>
      <c r="S109" s="290"/>
      <c r="T109" s="290"/>
      <c r="U109" s="290"/>
      <c r="V109" s="30"/>
      <c r="W109" s="30"/>
      <c r="X109" s="30"/>
    </row>
    <row r="110" spans="1:24" x14ac:dyDescent="0.2">
      <c r="A110" s="52"/>
      <c r="B110" s="13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290"/>
      <c r="R110" s="290"/>
      <c r="S110" s="290"/>
      <c r="T110" s="290"/>
      <c r="U110" s="290"/>
      <c r="V110" s="30"/>
      <c r="W110" s="30"/>
      <c r="X110" s="30"/>
    </row>
    <row r="111" spans="1:24" x14ac:dyDescent="0.2">
      <c r="A111" s="52"/>
      <c r="B111" s="13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290"/>
      <c r="R111" s="290"/>
      <c r="S111" s="290"/>
      <c r="T111" s="290"/>
      <c r="U111" s="290"/>
      <c r="V111" s="30"/>
      <c r="W111" s="30"/>
      <c r="X111" s="30"/>
    </row>
    <row r="112" spans="1:24" x14ac:dyDescent="0.2">
      <c r="A112" s="107"/>
      <c r="B112" s="107"/>
      <c r="C112" s="107"/>
      <c r="D112" s="107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52"/>
      <c r="P112" s="52"/>
      <c r="Q112" s="290"/>
      <c r="R112" s="290"/>
      <c r="S112" s="290"/>
      <c r="T112" s="290"/>
      <c r="U112" s="290"/>
      <c r="V112" s="30"/>
      <c r="W112" s="30"/>
      <c r="X112" s="30"/>
    </row>
    <row r="113" spans="1:24" x14ac:dyDescent="0.2">
      <c r="A113" s="107"/>
      <c r="B113" s="107"/>
      <c r="C113" s="107"/>
      <c r="D113" s="107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52"/>
      <c r="P113" s="52"/>
      <c r="Q113" s="290"/>
      <c r="R113" s="290"/>
      <c r="S113" s="290"/>
      <c r="T113" s="290"/>
      <c r="U113" s="290"/>
      <c r="V113" s="30"/>
      <c r="W113" s="30"/>
      <c r="X113" s="30"/>
    </row>
    <row r="114" spans="1:24" x14ac:dyDescent="0.2">
      <c r="A114" s="107"/>
      <c r="B114" s="107"/>
      <c r="C114" s="107"/>
      <c r="D114" s="107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52"/>
      <c r="P114" s="52"/>
      <c r="Q114" s="290"/>
      <c r="R114" s="290"/>
      <c r="S114" s="290"/>
      <c r="T114" s="290"/>
      <c r="U114" s="290"/>
      <c r="V114" s="30"/>
      <c r="W114" s="30"/>
      <c r="X114" s="30"/>
    </row>
    <row r="115" spans="1:24" x14ac:dyDescent="0.2">
      <c r="A115" s="511"/>
      <c r="B115" s="511"/>
      <c r="C115" s="511"/>
      <c r="D115" s="511"/>
      <c r="E115" s="511"/>
      <c r="F115" s="511"/>
      <c r="G115" s="511"/>
      <c r="H115" s="511"/>
      <c r="I115" s="511"/>
      <c r="J115" s="511"/>
      <c r="K115" s="511"/>
      <c r="L115" s="511"/>
      <c r="M115" s="511"/>
      <c r="N115" s="107"/>
      <c r="O115" s="52"/>
      <c r="P115" s="52"/>
      <c r="Q115" s="290"/>
      <c r="R115" s="290"/>
      <c r="S115" s="290"/>
      <c r="T115" s="290"/>
      <c r="U115" s="290"/>
      <c r="V115" s="30"/>
      <c r="W115" s="30"/>
      <c r="X115" s="30"/>
    </row>
    <row r="116" spans="1:24" s="149" customFormat="1" x14ac:dyDescent="0.2">
      <c r="A116" s="511"/>
      <c r="B116" s="512" t="str">
        <f>B5</f>
        <v>TP 2023</v>
      </c>
      <c r="C116" s="512" t="str">
        <f t="shared" ref="C116:M116" si="66">C5</f>
        <v>TP 2024</v>
      </c>
      <c r="D116" s="512">
        <f t="shared" si="66"/>
        <v>2025</v>
      </c>
      <c r="E116" s="512">
        <f t="shared" si="66"/>
        <v>2026</v>
      </c>
      <c r="F116" s="512">
        <f t="shared" si="66"/>
        <v>2027</v>
      </c>
      <c r="G116" s="512">
        <f t="shared" si="66"/>
        <v>2028</v>
      </c>
      <c r="H116" s="512">
        <f t="shared" si="66"/>
        <v>2029</v>
      </c>
      <c r="I116" s="512">
        <f t="shared" si="66"/>
        <v>2030</v>
      </c>
      <c r="J116" s="512">
        <f t="shared" si="66"/>
        <v>2031</v>
      </c>
      <c r="K116" s="512">
        <f t="shared" si="66"/>
        <v>2032</v>
      </c>
      <c r="L116" s="512">
        <f t="shared" si="66"/>
        <v>2033</v>
      </c>
      <c r="M116" s="512">
        <f t="shared" si="66"/>
        <v>2034</v>
      </c>
      <c r="N116" s="107"/>
      <c r="O116" s="150"/>
      <c r="P116" s="150"/>
      <c r="Q116" s="526"/>
      <c r="R116" s="526"/>
      <c r="S116" s="526"/>
      <c r="T116" s="526"/>
      <c r="U116" s="526"/>
      <c r="V116" s="151"/>
      <c r="W116" s="151"/>
      <c r="X116" s="151"/>
    </row>
    <row r="117" spans="1:24" s="149" customFormat="1" x14ac:dyDescent="0.2">
      <c r="A117" s="511" t="s">
        <v>34</v>
      </c>
      <c r="B117" s="511">
        <f t="shared" ref="B117:M117" si="67">B64</f>
        <v>1089.6799273860593</v>
      </c>
      <c r="C117" s="511">
        <f t="shared" si="67"/>
        <v>1041.2008579532603</v>
      </c>
      <c r="D117" s="511">
        <f t="shared" si="67"/>
        <v>978.8691360300171</v>
      </c>
      <c r="E117" s="511">
        <f t="shared" si="67"/>
        <v>921.49374926483313</v>
      </c>
      <c r="F117" s="511">
        <f t="shared" si="67"/>
        <v>866.64029811723071</v>
      </c>
      <c r="G117" s="511">
        <f t="shared" si="67"/>
        <v>821.72776738574964</v>
      </c>
      <c r="H117" s="511">
        <f t="shared" si="67"/>
        <v>784.19523596859483</v>
      </c>
      <c r="I117" s="511">
        <f t="shared" si="67"/>
        <v>750.1143780363002</v>
      </c>
      <c r="J117" s="511">
        <f t="shared" si="67"/>
        <v>719.64301502865317</v>
      </c>
      <c r="K117" s="511">
        <f t="shared" si="67"/>
        <v>692.98604923121013</v>
      </c>
      <c r="L117" s="511">
        <f t="shared" si="67"/>
        <v>670.32698687644881</v>
      </c>
      <c r="M117" s="511">
        <f t="shared" si="67"/>
        <v>651.88018230967612</v>
      </c>
      <c r="N117" s="107"/>
      <c r="O117" s="150"/>
      <c r="P117" s="150"/>
      <c r="Q117" s="526"/>
      <c r="R117" s="526"/>
      <c r="S117" s="526"/>
      <c r="T117" s="526"/>
      <c r="U117" s="526"/>
      <c r="V117" s="151"/>
      <c r="W117" s="151"/>
      <c r="X117" s="151"/>
    </row>
    <row r="118" spans="1:24" s="149" customFormat="1" x14ac:dyDescent="0.2">
      <c r="A118" s="511" t="s">
        <v>35</v>
      </c>
      <c r="B118" s="511">
        <f>B62</f>
        <v>3367.6018872142417</v>
      </c>
      <c r="C118" s="511">
        <f t="shared" ref="C118:M118" si="68">C62</f>
        <v>3450.1146223219866</v>
      </c>
      <c r="D118" s="511">
        <f t="shared" si="68"/>
        <v>3515.1075162239226</v>
      </c>
      <c r="E118" s="511">
        <f t="shared" si="68"/>
        <v>3540.9157027899059</v>
      </c>
      <c r="F118" s="511">
        <f t="shared" si="68"/>
        <v>3543.713886056195</v>
      </c>
      <c r="G118" s="511">
        <f t="shared" si="68"/>
        <v>3459.5256821559883</v>
      </c>
      <c r="H118" s="511">
        <f t="shared" si="68"/>
        <v>3322.2402889642381</v>
      </c>
      <c r="I118" s="511">
        <f t="shared" si="68"/>
        <v>3173.7066144605265</v>
      </c>
      <c r="J118" s="511">
        <f t="shared" si="68"/>
        <v>3013.849589518064</v>
      </c>
      <c r="K118" s="511">
        <f t="shared" si="68"/>
        <v>2842.0861188960648</v>
      </c>
      <c r="L118" s="511">
        <f t="shared" si="68"/>
        <v>2658.0162901958006</v>
      </c>
      <c r="M118" s="511">
        <f t="shared" si="68"/>
        <v>2461.1509920437475</v>
      </c>
      <c r="N118" s="107"/>
      <c r="O118" s="150"/>
      <c r="P118" s="150"/>
      <c r="Q118" s="526"/>
      <c r="R118" s="526"/>
      <c r="S118" s="526"/>
      <c r="T118" s="526"/>
      <c r="U118" s="526"/>
      <c r="V118" s="151"/>
      <c r="W118" s="151"/>
      <c r="X118" s="151"/>
    </row>
    <row r="119" spans="1:24" s="149" customFormat="1" x14ac:dyDescent="0.2">
      <c r="A119" s="511" t="s">
        <v>330</v>
      </c>
      <c r="B119" s="511">
        <f>B118-B117</f>
        <v>2277.9219598281825</v>
      </c>
      <c r="C119" s="511">
        <f t="shared" ref="C119:M119" si="69">C118-C117</f>
        <v>2408.9137643687263</v>
      </c>
      <c r="D119" s="511">
        <f t="shared" si="69"/>
        <v>2536.2383801939054</v>
      </c>
      <c r="E119" s="511">
        <f t="shared" si="69"/>
        <v>2619.4219535250727</v>
      </c>
      <c r="F119" s="511">
        <f t="shared" si="69"/>
        <v>2677.073587938964</v>
      </c>
      <c r="G119" s="511">
        <f t="shared" si="69"/>
        <v>2637.7979147702385</v>
      </c>
      <c r="H119" s="511">
        <f t="shared" si="69"/>
        <v>2538.0450529956433</v>
      </c>
      <c r="I119" s="511">
        <f t="shared" si="69"/>
        <v>2423.592236424226</v>
      </c>
      <c r="J119" s="511">
        <f t="shared" si="69"/>
        <v>2294.2065744894107</v>
      </c>
      <c r="K119" s="511">
        <f t="shared" si="69"/>
        <v>2149.1000696648548</v>
      </c>
      <c r="L119" s="511">
        <f t="shared" si="69"/>
        <v>1987.6893033193519</v>
      </c>
      <c r="M119" s="511">
        <f t="shared" si="69"/>
        <v>1809.2708097340715</v>
      </c>
      <c r="N119" s="107"/>
      <c r="O119" s="150"/>
      <c r="P119" s="150"/>
      <c r="Q119" s="526"/>
      <c r="R119" s="526"/>
      <c r="S119" s="526"/>
      <c r="T119" s="526"/>
      <c r="U119" s="526"/>
      <c r="V119" s="151"/>
      <c r="W119" s="151"/>
      <c r="X119" s="151"/>
    </row>
    <row r="120" spans="1:24" x14ac:dyDescent="0.2">
      <c r="A120" s="107"/>
      <c r="B120" s="107"/>
      <c r="C120" s="107"/>
      <c r="D120" s="107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52"/>
      <c r="P120" s="52"/>
      <c r="Q120" s="290"/>
      <c r="R120" s="290"/>
      <c r="S120" s="290"/>
      <c r="T120" s="290"/>
      <c r="U120" s="290"/>
      <c r="V120" s="30"/>
      <c r="W120" s="30"/>
      <c r="X120" s="30"/>
    </row>
    <row r="121" spans="1:24" x14ac:dyDescent="0.2">
      <c r="A121" s="107"/>
      <c r="B121" s="107"/>
      <c r="C121" s="107"/>
      <c r="D121" s="107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52"/>
      <c r="P121" s="52"/>
      <c r="Q121" s="290"/>
      <c r="R121" s="290"/>
      <c r="S121" s="290"/>
      <c r="T121" s="290"/>
      <c r="U121" s="290"/>
      <c r="V121" s="30"/>
      <c r="W121" s="30"/>
      <c r="X121" s="30"/>
    </row>
    <row r="122" spans="1:24" x14ac:dyDescent="0.2">
      <c r="A122" s="107"/>
      <c r="B122" s="107"/>
      <c r="C122" s="107"/>
      <c r="D122" s="107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52"/>
      <c r="P122" s="52"/>
      <c r="Q122" s="290"/>
      <c r="R122" s="290"/>
      <c r="S122" s="290"/>
      <c r="T122" s="290"/>
      <c r="U122" s="290"/>
      <c r="V122" s="30"/>
      <c r="W122" s="30"/>
      <c r="X122" s="30"/>
    </row>
    <row r="123" spans="1:24" x14ac:dyDescent="0.2">
      <c r="A123" s="52"/>
      <c r="B123" s="13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290"/>
      <c r="R123" s="290"/>
      <c r="S123" s="290"/>
      <c r="T123" s="290"/>
      <c r="U123" s="290"/>
      <c r="V123" s="30"/>
      <c r="W123" s="30"/>
      <c r="X123" s="30"/>
    </row>
    <row r="124" spans="1:24" x14ac:dyDescent="0.2">
      <c r="A124" s="52"/>
      <c r="B124" s="13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290"/>
      <c r="R124" s="290"/>
      <c r="S124" s="290"/>
      <c r="T124" s="290"/>
      <c r="U124" s="290"/>
      <c r="V124" s="30"/>
      <c r="W124" s="30"/>
      <c r="X124" s="30"/>
    </row>
    <row r="125" spans="1:24" x14ac:dyDescent="0.2">
      <c r="A125" s="52"/>
      <c r="B125" s="13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290"/>
      <c r="R125" s="290"/>
      <c r="S125" s="290"/>
      <c r="T125" s="290"/>
      <c r="U125" s="290"/>
      <c r="V125" s="30"/>
      <c r="W125" s="30"/>
      <c r="X125" s="30"/>
    </row>
    <row r="126" spans="1:24" x14ac:dyDescent="0.2">
      <c r="A126" s="52"/>
      <c r="B126" s="13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290"/>
      <c r="R126" s="290"/>
      <c r="S126" s="290"/>
      <c r="T126" s="290"/>
      <c r="U126" s="290"/>
      <c r="V126" s="30"/>
      <c r="W126" s="30"/>
      <c r="X126" s="30"/>
    </row>
    <row r="127" spans="1:24" x14ac:dyDescent="0.2">
      <c r="A127" s="52"/>
      <c r="B127" s="13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290"/>
      <c r="R127" s="290"/>
      <c r="S127" s="290"/>
      <c r="T127" s="290"/>
      <c r="U127" s="290"/>
      <c r="V127" s="30"/>
      <c r="W127" s="30"/>
      <c r="X127" s="30"/>
    </row>
    <row r="128" spans="1:24" x14ac:dyDescent="0.2">
      <c r="A128" s="52"/>
      <c r="B128" s="13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290"/>
      <c r="R128" s="290"/>
      <c r="S128" s="290"/>
      <c r="T128" s="290"/>
      <c r="U128" s="290"/>
      <c r="V128" s="30"/>
      <c r="W128" s="30"/>
      <c r="X128" s="30"/>
    </row>
    <row r="129" spans="1:24" x14ac:dyDescent="0.2">
      <c r="A129" s="52"/>
      <c r="B129" s="13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290"/>
      <c r="R129" s="290"/>
      <c r="S129" s="290"/>
      <c r="T129" s="290"/>
      <c r="U129" s="290"/>
      <c r="V129" s="30"/>
      <c r="W129" s="30"/>
      <c r="X129" s="30"/>
    </row>
    <row r="130" spans="1:24" x14ac:dyDescent="0.2">
      <c r="A130" s="52"/>
      <c r="B130" s="13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290"/>
      <c r="R130" s="290"/>
      <c r="S130" s="290"/>
      <c r="T130" s="290"/>
      <c r="U130" s="290"/>
      <c r="V130" s="30"/>
      <c r="W130" s="30"/>
      <c r="X130" s="30"/>
    </row>
    <row r="131" spans="1:24" x14ac:dyDescent="0.2">
      <c r="A131" s="52"/>
      <c r="B131" s="13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290"/>
      <c r="R131" s="290"/>
      <c r="S131" s="290"/>
      <c r="T131" s="290"/>
      <c r="U131" s="290"/>
      <c r="V131" s="30"/>
      <c r="W131" s="30"/>
      <c r="X131" s="30"/>
    </row>
    <row r="132" spans="1:24" x14ac:dyDescent="0.2">
      <c r="A132" s="52"/>
      <c r="B132" s="13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290"/>
      <c r="R132" s="290"/>
      <c r="S132" s="290"/>
      <c r="T132" s="290"/>
      <c r="U132" s="290"/>
      <c r="V132" s="30"/>
      <c r="W132" s="30"/>
      <c r="X132" s="30"/>
    </row>
    <row r="133" spans="1:24" x14ac:dyDescent="0.2">
      <c r="A133" s="132"/>
      <c r="B133" s="13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290"/>
      <c r="R133" s="290"/>
      <c r="S133" s="290"/>
      <c r="T133" s="290"/>
      <c r="U133" s="290"/>
      <c r="V133" s="30"/>
      <c r="W133" s="30"/>
      <c r="X133" s="30"/>
    </row>
    <row r="134" spans="1:24" x14ac:dyDescent="0.2">
      <c r="A134" s="52"/>
      <c r="B134" s="13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290"/>
      <c r="R134" s="290"/>
      <c r="S134" s="290"/>
      <c r="T134" s="290"/>
      <c r="U134" s="290"/>
      <c r="V134" s="30"/>
      <c r="W134" s="30"/>
      <c r="X134" s="30"/>
    </row>
    <row r="135" spans="1:24" x14ac:dyDescent="0.2">
      <c r="A135" s="16"/>
      <c r="B135" s="25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290"/>
      <c r="R135" s="290"/>
      <c r="S135" s="290"/>
      <c r="T135" s="290"/>
      <c r="U135" s="290"/>
      <c r="V135" s="30"/>
      <c r="W135" s="30"/>
      <c r="X135" s="30"/>
    </row>
    <row r="136" spans="1:24" x14ac:dyDescent="0.2">
      <c r="A136" s="16"/>
      <c r="B136" s="25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290"/>
      <c r="R136" s="290"/>
      <c r="S136" s="290"/>
      <c r="T136" s="290"/>
      <c r="U136" s="290"/>
      <c r="V136" s="30"/>
      <c r="W136" s="30"/>
      <c r="X136" s="30"/>
    </row>
    <row r="137" spans="1:24" x14ac:dyDescent="0.2">
      <c r="A137" s="16"/>
      <c r="B137" s="25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290"/>
      <c r="R137" s="290"/>
      <c r="S137" s="290"/>
      <c r="T137" s="290"/>
      <c r="U137" s="290"/>
      <c r="V137" s="30"/>
      <c r="W137" s="30"/>
      <c r="X137" s="30"/>
    </row>
    <row r="138" spans="1:24" x14ac:dyDescent="0.2">
      <c r="A138" s="16"/>
      <c r="B138" s="25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290"/>
      <c r="R138" s="290"/>
      <c r="S138" s="290"/>
      <c r="T138" s="290"/>
      <c r="U138" s="290"/>
      <c r="V138" s="30"/>
      <c r="W138" s="30"/>
      <c r="X138" s="30"/>
    </row>
    <row r="139" spans="1:24" x14ac:dyDescent="0.2">
      <c r="A139" s="16"/>
      <c r="B139" s="25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290"/>
      <c r="R139" s="290"/>
      <c r="S139" s="290"/>
      <c r="T139" s="290"/>
      <c r="U139" s="290"/>
      <c r="V139" s="30"/>
      <c r="W139" s="30"/>
      <c r="X139" s="30"/>
    </row>
    <row r="140" spans="1:24" x14ac:dyDescent="0.2">
      <c r="A140" s="16"/>
      <c r="B140" s="25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290"/>
      <c r="R140" s="290"/>
      <c r="S140" s="290"/>
      <c r="T140" s="290"/>
      <c r="U140" s="290"/>
      <c r="V140" s="30"/>
      <c r="W140" s="30"/>
      <c r="X140" s="30"/>
    </row>
    <row r="141" spans="1:24" x14ac:dyDescent="0.2">
      <c r="A141" s="16"/>
      <c r="B141" s="25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290"/>
      <c r="R141" s="290"/>
      <c r="S141" s="290"/>
      <c r="T141" s="290"/>
      <c r="U141" s="290"/>
      <c r="V141" s="30"/>
      <c r="W141" s="30"/>
      <c r="X141" s="30"/>
    </row>
    <row r="142" spans="1:24" x14ac:dyDescent="0.2">
      <c r="A142" s="16"/>
      <c r="B142" s="25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290"/>
      <c r="R142" s="290"/>
      <c r="S142" s="290"/>
      <c r="T142" s="290"/>
      <c r="U142" s="290"/>
      <c r="V142" s="30"/>
      <c r="W142" s="30"/>
      <c r="X142" s="30"/>
    </row>
    <row r="143" spans="1:24" x14ac:dyDescent="0.2">
      <c r="A143" s="16"/>
      <c r="B143" s="25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290"/>
      <c r="R143" s="290"/>
      <c r="S143" s="290"/>
      <c r="T143" s="290"/>
      <c r="U143" s="290"/>
      <c r="V143" s="30"/>
      <c r="W143" s="30"/>
      <c r="X143" s="30"/>
    </row>
    <row r="144" spans="1:24" x14ac:dyDescent="0.2">
      <c r="A144" s="16"/>
      <c r="B144" s="25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290"/>
      <c r="R144" s="290"/>
      <c r="S144" s="290"/>
      <c r="T144" s="290"/>
      <c r="U144" s="290"/>
      <c r="V144" s="30"/>
      <c r="W144" s="30"/>
      <c r="X144" s="30"/>
    </row>
    <row r="145" spans="1:24" x14ac:dyDescent="0.2">
      <c r="A145" s="513"/>
      <c r="B145" s="513"/>
      <c r="C145" s="513"/>
      <c r="D145" s="513"/>
      <c r="E145" s="513"/>
      <c r="F145" s="513"/>
      <c r="G145" s="513"/>
      <c r="H145" s="513"/>
      <c r="I145" s="513"/>
      <c r="J145" s="513"/>
      <c r="K145" s="513"/>
      <c r="L145" s="513"/>
      <c r="M145" s="513"/>
      <c r="N145" s="513"/>
      <c r="O145" s="513"/>
      <c r="P145" s="16"/>
      <c r="Q145" s="290"/>
      <c r="R145" s="290"/>
      <c r="S145" s="290"/>
      <c r="T145" s="290"/>
      <c r="U145" s="290"/>
      <c r="V145" s="30"/>
      <c r="W145" s="30"/>
      <c r="X145" s="30"/>
    </row>
    <row r="146" spans="1:24" x14ac:dyDescent="0.2">
      <c r="A146" s="513"/>
      <c r="B146" s="514" t="str">
        <f>B116</f>
        <v>TP 2023</v>
      </c>
      <c r="C146" s="514" t="str">
        <f t="shared" ref="C146:M146" si="70">C116</f>
        <v>TP 2024</v>
      </c>
      <c r="D146" s="514">
        <f t="shared" si="70"/>
        <v>2025</v>
      </c>
      <c r="E146" s="514">
        <f t="shared" si="70"/>
        <v>2026</v>
      </c>
      <c r="F146" s="514">
        <f t="shared" si="70"/>
        <v>2027</v>
      </c>
      <c r="G146" s="514">
        <f t="shared" si="70"/>
        <v>2028</v>
      </c>
      <c r="H146" s="514">
        <f t="shared" si="70"/>
        <v>2029</v>
      </c>
      <c r="I146" s="514">
        <f t="shared" si="70"/>
        <v>2030</v>
      </c>
      <c r="J146" s="514">
        <f t="shared" si="70"/>
        <v>2031</v>
      </c>
      <c r="K146" s="514">
        <f t="shared" si="70"/>
        <v>2032</v>
      </c>
      <c r="L146" s="514">
        <f t="shared" si="70"/>
        <v>2033</v>
      </c>
      <c r="M146" s="514">
        <f t="shared" si="70"/>
        <v>2034</v>
      </c>
      <c r="N146" s="513"/>
      <c r="O146" s="513"/>
      <c r="P146" s="16"/>
      <c r="Q146" s="290"/>
      <c r="R146" s="290"/>
      <c r="S146" s="290"/>
      <c r="T146" s="290"/>
      <c r="U146" s="290"/>
      <c r="V146" s="30"/>
      <c r="W146" s="30"/>
      <c r="X146" s="30"/>
    </row>
    <row r="147" spans="1:24" x14ac:dyDescent="0.2">
      <c r="A147" s="513" t="s">
        <v>17</v>
      </c>
      <c r="B147" s="515">
        <f>(1000*B35)/B8</f>
        <v>285.4911251518397</v>
      </c>
      <c r="C147" s="515">
        <f t="shared" ref="C147:M147" si="71">(1000*C35)/C8</f>
        <v>179.7412741830658</v>
      </c>
      <c r="D147" s="515">
        <f t="shared" si="71"/>
        <v>55.919614412216902</v>
      </c>
      <c r="E147" s="515">
        <f t="shared" si="71"/>
        <v>94.901909115050884</v>
      </c>
      <c r="F147" s="515">
        <f t="shared" si="71"/>
        <v>119.00881230833706</v>
      </c>
      <c r="G147" s="515">
        <f t="shared" si="71"/>
        <v>211.88948035259014</v>
      </c>
      <c r="H147" s="515">
        <f t="shared" si="71"/>
        <v>270.14878778395649</v>
      </c>
      <c r="I147" s="515">
        <f t="shared" si="71"/>
        <v>282.20973408891973</v>
      </c>
      <c r="J147" s="515">
        <f t="shared" si="71"/>
        <v>294.93638425050756</v>
      </c>
      <c r="K147" s="515">
        <f t="shared" si="71"/>
        <v>308.34533441661665</v>
      </c>
      <c r="L147" s="515">
        <f t="shared" si="71"/>
        <v>322.4625714491911</v>
      </c>
      <c r="M147" s="515">
        <f t="shared" si="71"/>
        <v>337.31408300543137</v>
      </c>
      <c r="N147" s="513"/>
      <c r="O147" s="513"/>
      <c r="P147" s="16"/>
      <c r="Q147" s="290"/>
      <c r="R147" s="290"/>
      <c r="S147" s="290"/>
      <c r="T147" s="290"/>
      <c r="U147" s="290"/>
      <c r="V147" s="30"/>
      <c r="W147" s="30"/>
      <c r="X147" s="30"/>
    </row>
    <row r="148" spans="1:24" x14ac:dyDescent="0.2">
      <c r="A148" s="513" t="s">
        <v>451</v>
      </c>
      <c r="B148" s="515">
        <f>B38</f>
        <v>2973.9599146019132</v>
      </c>
      <c r="C148" s="515">
        <f t="shared" ref="C148:M148" si="72">C38</f>
        <v>3138.4750358811089</v>
      </c>
      <c r="D148" s="515">
        <f t="shared" si="72"/>
        <v>3177.9980655873201</v>
      </c>
      <c r="E148" s="515">
        <f t="shared" si="72"/>
        <v>3259.21478936621</v>
      </c>
      <c r="F148" s="515">
        <f t="shared" si="72"/>
        <v>3364.4138535021798</v>
      </c>
      <c r="G148" s="515">
        <f t="shared" si="72"/>
        <v>3562.2794046355748</v>
      </c>
      <c r="H148" s="515">
        <f t="shared" si="72"/>
        <v>3817.855431537238</v>
      </c>
      <c r="I148" s="515">
        <f t="shared" si="72"/>
        <v>4084.7468133032085</v>
      </c>
      <c r="J148" s="515">
        <f t="shared" si="72"/>
        <v>4363.6555066888777</v>
      </c>
      <c r="K148" s="515">
        <f t="shared" si="72"/>
        <v>4655.2695084589332</v>
      </c>
      <c r="L148" s="515">
        <f t="shared" si="72"/>
        <v>4960.2605440987872</v>
      </c>
      <c r="M148" s="515">
        <f t="shared" si="72"/>
        <v>5279.3953663712382</v>
      </c>
      <c r="N148" s="513"/>
      <c r="O148" s="513"/>
      <c r="P148" s="16"/>
      <c r="Q148" s="290"/>
      <c r="R148" s="290"/>
      <c r="S148" s="290"/>
      <c r="T148" s="290"/>
      <c r="U148" s="290"/>
      <c r="V148" s="30"/>
      <c r="W148" s="30"/>
      <c r="X148" s="30"/>
    </row>
    <row r="149" spans="1:24" x14ac:dyDescent="0.2">
      <c r="A149" s="513"/>
      <c r="B149" s="513"/>
      <c r="C149" s="513"/>
      <c r="D149" s="513"/>
      <c r="E149" s="513"/>
      <c r="F149" s="513"/>
      <c r="G149" s="513"/>
      <c r="H149" s="513"/>
      <c r="I149" s="513"/>
      <c r="J149" s="513"/>
      <c r="K149" s="513"/>
      <c r="L149" s="513"/>
      <c r="M149" s="513"/>
      <c r="N149" s="513"/>
      <c r="O149" s="513"/>
      <c r="P149" s="16"/>
      <c r="Q149" s="290"/>
      <c r="R149" s="290"/>
      <c r="S149" s="290"/>
      <c r="T149" s="290"/>
      <c r="U149" s="290"/>
      <c r="V149" s="30"/>
      <c r="W149" s="30"/>
      <c r="X149" s="30"/>
    </row>
    <row r="150" spans="1:24" x14ac:dyDescent="0.2">
      <c r="A150" s="16"/>
      <c r="B150" s="25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513"/>
      <c r="N150" s="16"/>
      <c r="O150" s="16"/>
      <c r="P150" s="16"/>
      <c r="Q150" s="290"/>
      <c r="R150" s="290"/>
      <c r="S150" s="290"/>
      <c r="T150" s="290"/>
      <c r="U150" s="290"/>
      <c r="V150" s="30"/>
      <c r="W150" s="30"/>
      <c r="X150" s="30"/>
    </row>
    <row r="151" spans="1:24" x14ac:dyDescent="0.2">
      <c r="A151" s="16"/>
      <c r="B151" s="25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513"/>
      <c r="N151" s="16"/>
      <c r="O151" s="16"/>
      <c r="P151" s="16"/>
      <c r="Q151" s="290"/>
      <c r="R151" s="290"/>
      <c r="S151" s="290"/>
      <c r="T151" s="290"/>
      <c r="U151" s="290"/>
      <c r="V151" s="30"/>
      <c r="W151" s="30"/>
      <c r="X151" s="30"/>
    </row>
    <row r="152" spans="1:24" x14ac:dyDescent="0.2">
      <c r="A152" s="16"/>
      <c r="B152" s="25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290"/>
      <c r="R152" s="290"/>
      <c r="S152" s="290"/>
      <c r="T152" s="290"/>
      <c r="U152" s="290"/>
      <c r="V152" s="30"/>
      <c r="W152" s="30"/>
      <c r="X152" s="30"/>
    </row>
    <row r="153" spans="1:24" x14ac:dyDescent="0.2">
      <c r="A153" s="16"/>
      <c r="B153" s="25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290"/>
      <c r="R153" s="290"/>
      <c r="S153" s="290"/>
      <c r="T153" s="290"/>
      <c r="U153" s="290"/>
      <c r="V153" s="30"/>
      <c r="W153" s="30"/>
      <c r="X153" s="30"/>
    </row>
    <row r="154" spans="1:24" x14ac:dyDescent="0.2">
      <c r="A154" s="16"/>
      <c r="B154" s="25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290"/>
      <c r="R154" s="290"/>
      <c r="S154" s="290"/>
      <c r="T154" s="290"/>
      <c r="U154" s="290"/>
      <c r="V154" s="30"/>
      <c r="W154" s="30"/>
      <c r="X154" s="30"/>
    </row>
    <row r="155" spans="1:24" x14ac:dyDescent="0.2">
      <c r="A155" s="16"/>
      <c r="B155" s="25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290"/>
      <c r="R155" s="290"/>
      <c r="S155" s="290"/>
      <c r="T155" s="290"/>
      <c r="U155" s="290"/>
      <c r="V155" s="30"/>
      <c r="W155" s="30"/>
      <c r="X155" s="30"/>
    </row>
    <row r="156" spans="1:24" x14ac:dyDescent="0.2">
      <c r="A156" s="16"/>
      <c r="B156" s="25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290"/>
      <c r="R156" s="290"/>
      <c r="S156" s="290"/>
      <c r="T156" s="290"/>
      <c r="U156" s="290"/>
      <c r="V156" s="30"/>
      <c r="W156" s="30"/>
      <c r="X156" s="30"/>
    </row>
    <row r="157" spans="1:24" x14ac:dyDescent="0.2">
      <c r="A157" s="16"/>
      <c r="B157" s="25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290"/>
      <c r="R157" s="290"/>
      <c r="S157" s="290"/>
      <c r="T157" s="290"/>
      <c r="U157" s="290"/>
      <c r="V157" s="30"/>
      <c r="W157" s="30"/>
      <c r="X157" s="30"/>
    </row>
    <row r="158" spans="1:24" x14ac:dyDescent="0.2">
      <c r="A158" s="16"/>
      <c r="B158" s="25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290"/>
      <c r="R158" s="290"/>
      <c r="S158" s="290"/>
      <c r="T158" s="290"/>
      <c r="U158" s="290"/>
      <c r="V158" s="30"/>
      <c r="W158" s="30"/>
      <c r="X158" s="30"/>
    </row>
    <row r="159" spans="1:24" x14ac:dyDescent="0.2">
      <c r="A159" s="16"/>
      <c r="B159" s="25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290"/>
      <c r="R159" s="290"/>
      <c r="S159" s="290"/>
      <c r="T159" s="290"/>
      <c r="U159" s="290"/>
      <c r="V159" s="30"/>
      <c r="W159" s="30"/>
      <c r="X159" s="30"/>
    </row>
    <row r="160" spans="1:24" x14ac:dyDescent="0.2">
      <c r="A160" s="16"/>
      <c r="B160" s="25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290"/>
      <c r="R160" s="290"/>
      <c r="S160" s="290"/>
      <c r="T160" s="290"/>
      <c r="U160" s="290"/>
      <c r="V160" s="30"/>
      <c r="W160" s="30"/>
      <c r="X160" s="30"/>
    </row>
    <row r="161" spans="1:24" x14ac:dyDescent="0.2">
      <c r="A161" s="16"/>
      <c r="B161" s="25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290"/>
      <c r="R161" s="290"/>
      <c r="S161" s="290"/>
      <c r="T161" s="290"/>
      <c r="U161" s="290"/>
      <c r="V161" s="30"/>
      <c r="W161" s="30"/>
      <c r="X161" s="30"/>
    </row>
  </sheetData>
  <sheetProtection selectLockedCells="1"/>
  <phoneticPr fontId="0" type="noConversion"/>
  <pageMargins left="0.59055118110236227" right="0.59055118110236227" top="0.59055118110236227" bottom="0.39370078740157483" header="0.51181102362204722" footer="0.51181102362204722"/>
  <pageSetup scale="80" orientation="landscape" r:id="rId1"/>
  <headerFooter alignWithMargins="0"/>
  <ignoredErrors>
    <ignoredError sqref="C31 D23:E23 J23" formula="1"/>
    <ignoredError sqref="E31:F31 G18 H31:M31 H23:I23 G23 G31 F23 K23:M23 I72:M72" formula="1" unlockedFormula="1"/>
    <ignoredError sqref="E10 D19:M19 D13 F26:G26 F9:M9 D27:F27 D36:M36 J73:M73 J74:M74 J75:M75 J76:M76 H17:M18 D22:F22 H22:M22 D24:F24 H24:M24 D25:F25 H25:M25 D32:F32 H32:M32 D33:F33 H33:M33 D34:F34 H34:M34 D43:F43 E42:F42 H42:M42 D49:M52 D58:M58 E57:F57 H57:M57 H43:M44 G43:G44 G42 H26:M26 G22 G32:G34 G24:G25 G27 D11:E11 H11:M11 E35:M35 D54:M55 E53:M53 E44:F44 E41:M41 D60:M62 D59:G59 I59:M59 D69:F69 K69:M69 D39:M40 E37:M37 D64:M64 E63:M63 J21:M21 H69 G10:M10 F17:F18 D38:I38 K38:M38 H27:I27 K27:M27 D72:H72 J71:M71 D76:H76 D66:M68 D45:M47 D28:M28 J70:M70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Drop Down 4">
              <controlPr locked="0" defaultSize="0" autoLine="0" autoPict="0">
                <anchor moveWithCells="1">
                  <from>
                    <xdr:col>7</xdr:col>
                    <xdr:colOff>57150</xdr:colOff>
                    <xdr:row>1</xdr:row>
                    <xdr:rowOff>57150</xdr:rowOff>
                  </from>
                  <to>
                    <xdr:col>8</xdr:col>
                    <xdr:colOff>561975</xdr:colOff>
                    <xdr:row>2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R546"/>
  <sheetViews>
    <sheetView showGridLines="0" workbookViewId="0">
      <pane xSplit="2" ySplit="2" topLeftCell="BR3" activePane="bottomRight" state="frozen"/>
      <selection pane="topRight" activeCell="C1" sqref="C1"/>
      <selection pane="bottomLeft" activeCell="A3" sqref="A3"/>
      <selection pane="bottomRight" activeCell="CC3" sqref="CC3"/>
    </sheetView>
  </sheetViews>
  <sheetFormatPr defaultColWidth="9.33203125" defaultRowHeight="11.25" x14ac:dyDescent="0.2"/>
  <cols>
    <col min="1" max="1" width="4.6640625" style="154" customWidth="1"/>
    <col min="2" max="2" width="12.33203125" style="156" customWidth="1"/>
    <col min="3" max="3" width="11" style="177" bestFit="1" customWidth="1"/>
    <col min="4" max="4" width="14.33203125" style="156" bestFit="1" customWidth="1"/>
    <col min="5" max="5" width="7.6640625" style="155" customWidth="1"/>
    <col min="6" max="6" width="5.6640625" style="156" customWidth="1"/>
    <col min="7" max="7" width="14.83203125" style="156" bestFit="1" customWidth="1"/>
    <col min="8" max="8" width="14" style="156" bestFit="1" customWidth="1"/>
    <col min="9" max="9" width="11" style="156" bestFit="1" customWidth="1"/>
    <col min="10" max="10" width="12.5" style="156" bestFit="1" customWidth="1"/>
    <col min="11" max="11" width="10.33203125" style="156" customWidth="1"/>
    <col min="12" max="12" width="11.83203125" style="156" customWidth="1"/>
    <col min="13" max="13" width="10.5" style="156" customWidth="1"/>
    <col min="14" max="14" width="11.83203125" style="156" customWidth="1"/>
    <col min="15" max="15" width="10.33203125" style="156" bestFit="1" customWidth="1"/>
    <col min="16" max="18" width="9.33203125" style="156"/>
    <col min="19" max="19" width="10.6640625" style="156" customWidth="1"/>
    <col min="20" max="21" width="9.33203125" style="156"/>
    <col min="22" max="22" width="10.33203125" style="156" bestFit="1" customWidth="1"/>
    <col min="23" max="23" width="9.5" style="156" bestFit="1" customWidth="1"/>
    <col min="24" max="24" width="15.5" style="156" bestFit="1" customWidth="1"/>
    <col min="25" max="27" width="9.33203125" style="156"/>
    <col min="28" max="28" width="21.6640625" style="156" bestFit="1" customWidth="1"/>
    <col min="29" max="29" width="7.33203125" style="156" customWidth="1"/>
    <col min="30" max="30" width="20.1640625" style="156" bestFit="1" customWidth="1"/>
    <col min="31" max="31" width="10.6640625" style="156" bestFit="1" customWidth="1"/>
    <col min="32" max="32" width="9.5" style="156" customWidth="1"/>
    <col min="33" max="33" width="14.33203125" style="156" customWidth="1"/>
    <col min="34" max="34" width="17.6640625" style="156" bestFit="1" customWidth="1"/>
    <col min="35" max="35" width="9.6640625" style="156" bestFit="1" customWidth="1"/>
    <col min="36" max="36" width="14.6640625" style="157" customWidth="1"/>
    <col min="37" max="37" width="5" style="156" bestFit="1" customWidth="1"/>
    <col min="38" max="38" width="15.83203125" style="156" customWidth="1"/>
    <col min="39" max="39" width="8.5" style="156" customWidth="1"/>
    <col min="40" max="40" width="11.83203125" style="156" customWidth="1"/>
    <col min="41" max="41" width="10.6640625" style="262" bestFit="1" customWidth="1"/>
    <col min="42" max="42" width="12.6640625" style="262" bestFit="1" customWidth="1"/>
    <col min="43" max="43" width="9.6640625" style="442" customWidth="1"/>
    <col min="44" max="44" width="9.83203125" style="442" bestFit="1" customWidth="1"/>
    <col min="45" max="45" width="13.6640625" style="262" bestFit="1" customWidth="1"/>
    <col min="46" max="46" width="12.6640625" style="262" bestFit="1" customWidth="1"/>
    <col min="47" max="47" width="10.6640625" style="442" customWidth="1"/>
    <col min="48" max="48" width="12.6640625" style="262" bestFit="1" customWidth="1"/>
    <col min="49" max="49" width="11.6640625" style="262" bestFit="1" customWidth="1"/>
    <col min="50" max="50" width="12.6640625" style="262" bestFit="1" customWidth="1"/>
    <col min="51" max="51" width="11.83203125" style="262" customWidth="1"/>
    <col min="52" max="52" width="11.5" style="262" bestFit="1" customWidth="1"/>
    <col min="53" max="54" width="9.5" style="262" bestFit="1" customWidth="1"/>
    <col min="55" max="55" width="15.6640625" style="262" bestFit="1" customWidth="1"/>
    <col min="56" max="56" width="15" style="262" bestFit="1" customWidth="1"/>
    <col min="57" max="57" width="11.5" style="262" bestFit="1" customWidth="1"/>
    <col min="58" max="58" width="9.5" style="442" bestFit="1" customWidth="1"/>
    <col min="59" max="59" width="9.6640625" style="262" bestFit="1" customWidth="1"/>
    <col min="60" max="60" width="10.5" style="262" bestFit="1" customWidth="1"/>
    <col min="61" max="61" width="9.6640625" style="262" bestFit="1" customWidth="1"/>
    <col min="62" max="62" width="15.6640625" style="262" bestFit="1" customWidth="1"/>
    <col min="63" max="65" width="9.5" style="262" bestFit="1" customWidth="1"/>
    <col min="66" max="66" width="21.83203125" style="262" bestFit="1" customWidth="1"/>
    <col min="67" max="67" width="7.33203125" style="442" customWidth="1"/>
    <col min="68" max="68" width="20.33203125" style="262" bestFit="1" customWidth="1"/>
    <col min="69" max="69" width="8.83203125" style="262" customWidth="1"/>
    <col min="70" max="70" width="9" style="272" customWidth="1"/>
    <col min="71" max="72" width="8.83203125" style="272" customWidth="1"/>
    <col min="73" max="73" width="9.5" style="272" bestFit="1" customWidth="1"/>
    <col min="74" max="74" width="14.83203125" style="311" customWidth="1"/>
    <col min="75" max="75" width="9.5" style="442" bestFit="1" customWidth="1"/>
    <col min="76" max="76" width="14.6640625" style="262" customWidth="1"/>
    <col min="77" max="77" width="9.5" style="466" bestFit="1" customWidth="1"/>
    <col min="78" max="78" width="9.33203125" style="466" customWidth="1"/>
    <col min="79" max="79" width="12.5" style="551" customWidth="1"/>
    <col min="80" max="80" width="11.33203125" style="282" customWidth="1"/>
    <col min="81" max="81" width="11.33203125" style="470" customWidth="1"/>
    <col min="82" max="82" width="13.1640625" style="280" customWidth="1"/>
    <col min="83" max="83" width="5.6640625" style="156" customWidth="1"/>
    <col min="84" max="84" width="9.5" style="156" customWidth="1"/>
    <col min="85" max="85" width="5.6640625" style="158" customWidth="1"/>
    <col min="86" max="86" width="10.33203125" style="156" customWidth="1"/>
    <col min="87" max="87" width="7.6640625" style="156" customWidth="1"/>
    <col min="88" max="88" width="15.33203125" style="155" bestFit="1" customWidth="1"/>
    <col min="89" max="91" width="15.33203125" style="1" bestFit="1" customWidth="1"/>
    <col min="92" max="92" width="15.5" style="1" customWidth="1"/>
    <col min="93" max="93" width="9.33203125" style="479"/>
    <col min="94" max="94" width="9.33203125" style="556"/>
    <col min="95" max="96" width="9.6640625" style="519" bestFit="1" customWidth="1"/>
    <col min="97" max="16384" width="9.33203125" style="260"/>
  </cols>
  <sheetData>
    <row r="1" spans="1:96" s="146" customFormat="1" ht="12.75" x14ac:dyDescent="0.2">
      <c r="A1" s="154"/>
      <c r="B1" s="155">
        <v>1</v>
      </c>
      <c r="C1" s="176">
        <v>2023</v>
      </c>
      <c r="D1" s="156">
        <v>3</v>
      </c>
      <c r="E1" s="262">
        <v>4</v>
      </c>
      <c r="F1" s="156">
        <v>5</v>
      </c>
      <c r="G1" s="262">
        <v>6</v>
      </c>
      <c r="H1" s="156">
        <v>7</v>
      </c>
      <c r="I1" s="262">
        <v>8</v>
      </c>
      <c r="J1" s="156">
        <v>9</v>
      </c>
      <c r="K1" s="262">
        <v>10</v>
      </c>
      <c r="L1" s="156">
        <v>11</v>
      </c>
      <c r="M1" s="262">
        <v>12</v>
      </c>
      <c r="N1" s="156">
        <v>13</v>
      </c>
      <c r="O1" s="262">
        <v>14</v>
      </c>
      <c r="P1" s="156">
        <v>15</v>
      </c>
      <c r="Q1" s="262">
        <v>16</v>
      </c>
      <c r="R1" s="156">
        <v>17</v>
      </c>
      <c r="S1" s="262">
        <v>18</v>
      </c>
      <c r="T1" s="156">
        <v>19</v>
      </c>
      <c r="U1" s="262">
        <v>20</v>
      </c>
      <c r="V1" s="156">
        <v>21</v>
      </c>
      <c r="W1" s="262">
        <v>22</v>
      </c>
      <c r="X1" s="156">
        <v>23</v>
      </c>
      <c r="Y1" s="262">
        <v>24</v>
      </c>
      <c r="Z1" s="156">
        <v>25</v>
      </c>
      <c r="AA1" s="262">
        <v>26</v>
      </c>
      <c r="AB1" s="156">
        <v>27</v>
      </c>
      <c r="AC1" s="262">
        <v>28</v>
      </c>
      <c r="AD1" s="156">
        <v>29</v>
      </c>
      <c r="AE1" s="262">
        <v>30</v>
      </c>
      <c r="AF1" s="156">
        <v>31</v>
      </c>
      <c r="AG1" s="464">
        <v>32</v>
      </c>
      <c r="AH1" s="156">
        <v>33</v>
      </c>
      <c r="AI1" s="262">
        <v>34</v>
      </c>
      <c r="AJ1" s="156">
        <v>35</v>
      </c>
      <c r="AK1" s="262">
        <v>36</v>
      </c>
      <c r="AL1" s="156">
        <v>37</v>
      </c>
      <c r="AM1" s="262">
        <v>38</v>
      </c>
      <c r="AN1" s="156">
        <v>39</v>
      </c>
      <c r="AO1" s="317">
        <v>2024</v>
      </c>
      <c r="AP1" s="262">
        <v>41</v>
      </c>
      <c r="AQ1" s="442">
        <v>42</v>
      </c>
      <c r="AR1" s="442">
        <v>43</v>
      </c>
      <c r="AS1" s="262">
        <v>44</v>
      </c>
      <c r="AT1" s="262">
        <v>45</v>
      </c>
      <c r="AU1" s="442">
        <v>46</v>
      </c>
      <c r="AV1" s="262">
        <v>47</v>
      </c>
      <c r="AW1" s="262">
        <v>48</v>
      </c>
      <c r="AX1" s="262">
        <v>49</v>
      </c>
      <c r="AY1" s="262">
        <v>50</v>
      </c>
      <c r="AZ1" s="262">
        <v>51</v>
      </c>
      <c r="BA1" s="262">
        <v>52</v>
      </c>
      <c r="BB1" s="262">
        <v>53</v>
      </c>
      <c r="BC1" s="262">
        <v>54</v>
      </c>
      <c r="BD1" s="262">
        <v>55</v>
      </c>
      <c r="BE1" s="262">
        <v>56</v>
      </c>
      <c r="BF1" s="442">
        <v>57</v>
      </c>
      <c r="BG1" s="262">
        <v>58</v>
      </c>
      <c r="BH1" s="262">
        <v>59</v>
      </c>
      <c r="BI1" s="262">
        <v>60</v>
      </c>
      <c r="BJ1" s="262">
        <v>61</v>
      </c>
      <c r="BK1" s="262">
        <v>62</v>
      </c>
      <c r="BL1" s="262">
        <v>63</v>
      </c>
      <c r="BM1" s="262">
        <v>64</v>
      </c>
      <c r="BN1" s="262">
        <v>65</v>
      </c>
      <c r="BO1" s="442">
        <v>66</v>
      </c>
      <c r="BP1" s="262">
        <v>67</v>
      </c>
      <c r="BQ1" s="262">
        <v>68</v>
      </c>
      <c r="BR1" s="272">
        <v>69</v>
      </c>
      <c r="BS1" s="272">
        <v>70</v>
      </c>
      <c r="BT1" s="272">
        <v>71</v>
      </c>
      <c r="BU1" s="272">
        <v>72</v>
      </c>
      <c r="BV1" s="262">
        <v>73</v>
      </c>
      <c r="BW1" s="442">
        <v>74</v>
      </c>
      <c r="BX1" s="262">
        <v>75</v>
      </c>
      <c r="BY1" s="466">
        <v>76</v>
      </c>
      <c r="BZ1" s="466">
        <v>77</v>
      </c>
      <c r="CA1" s="551">
        <v>78</v>
      </c>
      <c r="CB1" s="282" t="s">
        <v>407</v>
      </c>
      <c r="CC1" s="470" t="s">
        <v>407</v>
      </c>
      <c r="CD1" s="280">
        <v>81</v>
      </c>
      <c r="CE1" s="156">
        <v>82</v>
      </c>
      <c r="CF1" s="280">
        <v>83</v>
      </c>
      <c r="CG1" s="156">
        <v>84</v>
      </c>
      <c r="CH1" s="280">
        <v>85</v>
      </c>
      <c r="CI1" s="156">
        <v>86</v>
      </c>
      <c r="CJ1" s="155">
        <v>2025</v>
      </c>
      <c r="CK1" s="155">
        <v>2026</v>
      </c>
      <c r="CL1" s="155">
        <v>2027</v>
      </c>
      <c r="CM1" s="155">
        <v>2028</v>
      </c>
      <c r="CN1" s="155">
        <v>2029</v>
      </c>
      <c r="CO1" s="479" t="s">
        <v>464</v>
      </c>
      <c r="CP1" s="442">
        <v>93</v>
      </c>
      <c r="CQ1" s="517">
        <v>2023</v>
      </c>
      <c r="CR1" s="517">
        <v>2024</v>
      </c>
    </row>
    <row r="2" spans="1:96" s="146" customFormat="1" x14ac:dyDescent="0.2">
      <c r="A2" s="154" t="s">
        <v>36</v>
      </c>
      <c r="B2" s="156" t="s">
        <v>37</v>
      </c>
      <c r="C2" s="275" t="s">
        <v>385</v>
      </c>
      <c r="D2" s="160" t="s">
        <v>3</v>
      </c>
      <c r="E2" s="273" t="s">
        <v>28</v>
      </c>
      <c r="F2" s="161" t="s">
        <v>29</v>
      </c>
      <c r="G2" s="162" t="s">
        <v>442</v>
      </c>
      <c r="H2" s="163" t="s">
        <v>5</v>
      </c>
      <c r="I2" s="159" t="s">
        <v>15</v>
      </c>
      <c r="J2" s="161" t="s">
        <v>13</v>
      </c>
      <c r="K2" s="161" t="s">
        <v>1</v>
      </c>
      <c r="L2" s="161" t="s">
        <v>2</v>
      </c>
      <c r="M2" s="162" t="s">
        <v>6</v>
      </c>
      <c r="N2" s="163" t="s">
        <v>7</v>
      </c>
      <c r="O2" s="159" t="s">
        <v>8</v>
      </c>
      <c r="P2" s="159" t="s">
        <v>10</v>
      </c>
      <c r="Q2" s="159" t="s">
        <v>9</v>
      </c>
      <c r="R2" s="159" t="s">
        <v>11</v>
      </c>
      <c r="S2" s="162" t="s">
        <v>12</v>
      </c>
      <c r="T2" s="164" t="s">
        <v>31</v>
      </c>
      <c r="U2" s="159" t="s">
        <v>16</v>
      </c>
      <c r="V2" s="274" t="s">
        <v>383</v>
      </c>
      <c r="W2" s="274" t="s">
        <v>384</v>
      </c>
      <c r="X2" s="160" t="s">
        <v>20</v>
      </c>
      <c r="Y2" s="165" t="s">
        <v>25</v>
      </c>
      <c r="Z2" s="165" t="s">
        <v>26</v>
      </c>
      <c r="AA2" s="165" t="s">
        <v>27</v>
      </c>
      <c r="AB2" s="160" t="s">
        <v>17</v>
      </c>
      <c r="AC2" s="156" t="s">
        <v>30</v>
      </c>
      <c r="AD2" s="162" t="s">
        <v>373</v>
      </c>
      <c r="AE2" s="463" t="s">
        <v>445</v>
      </c>
      <c r="AF2" s="159" t="s">
        <v>363</v>
      </c>
      <c r="AG2" s="160" t="s">
        <v>400</v>
      </c>
      <c r="AH2" s="166" t="s">
        <v>401</v>
      </c>
      <c r="AI2" s="167" t="s">
        <v>402</v>
      </c>
      <c r="AJ2" s="168" t="s">
        <v>398</v>
      </c>
      <c r="AK2" s="164" t="s">
        <v>30</v>
      </c>
      <c r="AL2" s="162" t="s">
        <v>397</v>
      </c>
      <c r="AM2" s="440" t="s">
        <v>389</v>
      </c>
      <c r="AN2" s="441" t="s">
        <v>371</v>
      </c>
      <c r="AO2" s="318" t="s">
        <v>386</v>
      </c>
      <c r="AP2" s="160" t="s">
        <v>3</v>
      </c>
      <c r="AQ2" s="443" t="s">
        <v>28</v>
      </c>
      <c r="AR2" s="443" t="s">
        <v>29</v>
      </c>
      <c r="AS2" s="162" t="s">
        <v>441</v>
      </c>
      <c r="AT2" s="163" t="s">
        <v>5</v>
      </c>
      <c r="AU2" s="444" t="s">
        <v>15</v>
      </c>
      <c r="AV2" s="456" t="s">
        <v>13</v>
      </c>
      <c r="AW2" s="456" t="s">
        <v>1</v>
      </c>
      <c r="AX2" s="456" t="s">
        <v>2</v>
      </c>
      <c r="AY2" s="162" t="s">
        <v>6</v>
      </c>
      <c r="AZ2" s="163" t="s">
        <v>323</v>
      </c>
      <c r="BA2" s="457" t="s">
        <v>8</v>
      </c>
      <c r="BB2" s="457" t="s">
        <v>10</v>
      </c>
      <c r="BC2" s="457" t="s">
        <v>9</v>
      </c>
      <c r="BD2" s="457" t="s">
        <v>11</v>
      </c>
      <c r="BE2" s="162" t="s">
        <v>12</v>
      </c>
      <c r="BF2" s="445" t="s">
        <v>31</v>
      </c>
      <c r="BG2" s="457" t="s">
        <v>16</v>
      </c>
      <c r="BH2" s="274" t="s">
        <v>383</v>
      </c>
      <c r="BI2" s="274" t="s">
        <v>384</v>
      </c>
      <c r="BJ2" s="160" t="s">
        <v>20</v>
      </c>
      <c r="BK2" s="274" t="s">
        <v>25</v>
      </c>
      <c r="BL2" s="274" t="s">
        <v>26</v>
      </c>
      <c r="BM2" s="274" t="s">
        <v>27</v>
      </c>
      <c r="BN2" s="160" t="s">
        <v>17</v>
      </c>
      <c r="BO2" s="442" t="s">
        <v>30</v>
      </c>
      <c r="BP2" s="162" t="s">
        <v>373</v>
      </c>
      <c r="BQ2" s="463" t="s">
        <v>445</v>
      </c>
      <c r="BR2" s="459" t="s">
        <v>363</v>
      </c>
      <c r="BS2" s="459" t="s">
        <v>400</v>
      </c>
      <c r="BT2" s="293" t="s">
        <v>401</v>
      </c>
      <c r="BU2" s="460" t="s">
        <v>402</v>
      </c>
      <c r="BV2" s="465" t="s">
        <v>446</v>
      </c>
      <c r="BW2" s="445" t="s">
        <v>30</v>
      </c>
      <c r="BX2" s="162" t="s">
        <v>21</v>
      </c>
      <c r="BY2" s="467" t="s">
        <v>389</v>
      </c>
      <c r="BZ2" s="468" t="s">
        <v>371</v>
      </c>
      <c r="CA2" s="551"/>
      <c r="CB2" s="282">
        <v>2025</v>
      </c>
      <c r="CC2" s="470">
        <v>2026</v>
      </c>
      <c r="CD2" s="280"/>
      <c r="CE2" s="156"/>
      <c r="CF2" s="156" t="s">
        <v>324</v>
      </c>
      <c r="CG2" s="156" t="s">
        <v>355</v>
      </c>
      <c r="CH2" s="156" t="s">
        <v>324</v>
      </c>
      <c r="CI2" s="158" t="s">
        <v>380</v>
      </c>
      <c r="CJ2" s="155" t="s">
        <v>323</v>
      </c>
      <c r="CK2" s="285" t="s">
        <v>323</v>
      </c>
      <c r="CL2" s="285" t="s">
        <v>323</v>
      </c>
      <c r="CM2" s="285" t="s">
        <v>323</v>
      </c>
      <c r="CN2" s="285" t="s">
        <v>323</v>
      </c>
      <c r="CO2" s="479" t="s">
        <v>448</v>
      </c>
      <c r="CP2" s="556"/>
      <c r="CQ2" s="518" t="s">
        <v>453</v>
      </c>
      <c r="CR2" s="518" t="s">
        <v>453</v>
      </c>
    </row>
    <row r="3" spans="1:96" x14ac:dyDescent="0.2">
      <c r="A3" s="271">
        <v>20</v>
      </c>
      <c r="B3" s="262" t="s">
        <v>318</v>
      </c>
      <c r="C3" s="325">
        <v>16405</v>
      </c>
      <c r="D3" s="270">
        <v>9.36</v>
      </c>
      <c r="E3" s="262"/>
      <c r="F3" s="262"/>
      <c r="G3" s="272">
        <v>7505.3104699999994</v>
      </c>
      <c r="H3" s="272">
        <v>47969.816140000003</v>
      </c>
      <c r="I3" s="272"/>
      <c r="J3" s="272">
        <v>33084.79279</v>
      </c>
      <c r="K3" s="272">
        <v>1980.5846999999999</v>
      </c>
      <c r="L3" s="272">
        <v>3880.7251200000001</v>
      </c>
      <c r="M3" s="272">
        <v>38946.102610000002</v>
      </c>
      <c r="N3" s="272">
        <v>9625.046769999999</v>
      </c>
      <c r="O3" s="272">
        <v>491.97828999999996</v>
      </c>
      <c r="P3" s="272">
        <v>2216.1161000000002</v>
      </c>
      <c r="Q3" s="272">
        <v>277.03214000000003</v>
      </c>
      <c r="R3" s="272">
        <v>52.297239999999995</v>
      </c>
      <c r="S3" s="272">
        <v>6607.2407999999996</v>
      </c>
      <c r="T3" s="262"/>
      <c r="U3" s="272">
        <v>6008.6858099999999</v>
      </c>
      <c r="V3" s="272">
        <v>0</v>
      </c>
      <c r="W3" s="272">
        <v>0</v>
      </c>
      <c r="X3" s="272">
        <v>598.55498999999998</v>
      </c>
      <c r="Y3" s="272">
        <v>-2.2667600000000001</v>
      </c>
      <c r="Z3" s="272">
        <v>0</v>
      </c>
      <c r="AA3" s="272">
        <v>0</v>
      </c>
      <c r="AB3" s="272">
        <v>600.82174999999995</v>
      </c>
      <c r="AC3" s="262"/>
      <c r="AD3" s="272">
        <v>1084.99983</v>
      </c>
      <c r="AE3" s="311">
        <v>6499.98513</v>
      </c>
      <c r="AF3" s="272">
        <v>-107.25566999999999</v>
      </c>
      <c r="AG3" s="272">
        <v>-13723.76353</v>
      </c>
      <c r="AH3" s="272">
        <v>13.2425</v>
      </c>
      <c r="AI3" s="272">
        <v>145.78028</v>
      </c>
      <c r="AJ3" s="272">
        <v>-123.46744</v>
      </c>
      <c r="AK3" s="262"/>
      <c r="AL3" s="272">
        <v>91054.925480000005</v>
      </c>
      <c r="AM3" s="272">
        <v>420</v>
      </c>
      <c r="AN3" s="272">
        <v>9392.1974300000002</v>
      </c>
      <c r="AO3" s="325">
        <v>16387</v>
      </c>
      <c r="AP3" s="332">
        <v>9.9</v>
      </c>
      <c r="AQ3" s="446"/>
      <c r="AR3" s="446"/>
      <c r="AS3" s="455">
        <v>10213.09549</v>
      </c>
      <c r="AT3" s="272">
        <v>46243.94788</v>
      </c>
      <c r="AU3" s="447"/>
      <c r="AV3" s="272">
        <v>34690.174039999998</v>
      </c>
      <c r="AW3" s="272">
        <v>1683.8236299999999</v>
      </c>
      <c r="AX3" s="272">
        <v>4059.3135400000001</v>
      </c>
      <c r="AY3" s="272">
        <v>40433.31121</v>
      </c>
      <c r="AZ3" s="272">
        <v>5820.65463</v>
      </c>
      <c r="BA3" s="272">
        <v>575.04068999999993</v>
      </c>
      <c r="BB3" s="272">
        <v>2938.0822599999997</v>
      </c>
      <c r="BC3" s="272">
        <v>441.71264000000002</v>
      </c>
      <c r="BD3" s="272">
        <v>-1.0094400000000001</v>
      </c>
      <c r="BE3" s="272">
        <v>8385.4084899999998</v>
      </c>
      <c r="BG3" s="272">
        <v>7383.7184699999998</v>
      </c>
      <c r="BH3" s="272">
        <v>0</v>
      </c>
      <c r="BI3" s="272">
        <v>0</v>
      </c>
      <c r="BJ3" s="272">
        <v>1001.69002</v>
      </c>
      <c r="BK3" s="272">
        <v>-1.9267400000000001</v>
      </c>
      <c r="BL3" s="272">
        <v>0</v>
      </c>
      <c r="BM3" s="272">
        <v>0</v>
      </c>
      <c r="BN3" s="272">
        <v>1003.61676</v>
      </c>
      <c r="BP3" s="272">
        <v>2088.6165900000001</v>
      </c>
      <c r="BQ3" s="311">
        <v>5682.6746199999998</v>
      </c>
      <c r="BR3" s="272">
        <v>-2702.73387</v>
      </c>
      <c r="BS3" s="272">
        <v>-4332.2200199999997</v>
      </c>
      <c r="BT3" s="272">
        <v>166.06842</v>
      </c>
      <c r="BU3" s="272">
        <v>5215.7306500000004</v>
      </c>
      <c r="BV3" s="272">
        <v>9189.6273000000001</v>
      </c>
      <c r="BX3" s="272">
        <v>94200.741399999999</v>
      </c>
      <c r="BY3" s="469">
        <v>0</v>
      </c>
      <c r="BZ3" s="469">
        <v>3145.81592</v>
      </c>
      <c r="CA3" s="442"/>
      <c r="CB3" s="335">
        <v>9.9</v>
      </c>
      <c r="CC3" s="471">
        <f>CB3</f>
        <v>9.9</v>
      </c>
      <c r="CD3" s="558"/>
      <c r="CE3" s="272"/>
      <c r="CF3" s="262"/>
      <c r="CG3" s="262"/>
      <c r="CH3" s="262"/>
      <c r="CI3" s="262">
        <v>0</v>
      </c>
      <c r="CJ3" s="272">
        <v>6542.4586853602059</v>
      </c>
      <c r="CK3" s="272">
        <v>6726.9500470137964</v>
      </c>
      <c r="CL3" s="331">
        <v>6581.4451127500497</v>
      </c>
      <c r="CM3" s="472">
        <v>7262.6048016666255</v>
      </c>
      <c r="CN3" s="472">
        <v>7171.6514980743495</v>
      </c>
      <c r="CO3" s="480">
        <v>-2238.6480000000001</v>
      </c>
      <c r="CP3" s="557"/>
      <c r="CQ3" s="474">
        <v>0</v>
      </c>
      <c r="CR3" s="474">
        <v>82.614530000000002</v>
      </c>
    </row>
    <row r="4" spans="1:96" x14ac:dyDescent="0.2">
      <c r="A4" s="172">
        <v>5</v>
      </c>
      <c r="B4" s="171" t="s">
        <v>38</v>
      </c>
      <c r="C4" s="325">
        <v>9113</v>
      </c>
      <c r="D4" s="270">
        <v>9.11</v>
      </c>
      <c r="E4" s="185"/>
      <c r="F4" s="171"/>
      <c r="G4" s="272">
        <v>15112.075869999999</v>
      </c>
      <c r="H4" s="272">
        <v>40948.266369999998</v>
      </c>
      <c r="I4" s="272"/>
      <c r="J4" s="272">
        <v>13866.599310000001</v>
      </c>
      <c r="K4" s="272">
        <v>2299.9638399999999</v>
      </c>
      <c r="L4" s="272">
        <v>2454.07861</v>
      </c>
      <c r="M4" s="272">
        <v>18620.641760000002</v>
      </c>
      <c r="N4" s="272">
        <v>14800.415140000001</v>
      </c>
      <c r="O4" s="272">
        <v>27.749020000000002</v>
      </c>
      <c r="P4" s="272">
        <v>0</v>
      </c>
      <c r="Q4" s="272">
        <v>207.64995999999999</v>
      </c>
      <c r="R4" s="272">
        <v>358.89890000000003</v>
      </c>
      <c r="S4" s="272">
        <v>7461.3664800000006</v>
      </c>
      <c r="T4" s="171"/>
      <c r="U4" s="272">
        <v>4066.5006100000001</v>
      </c>
      <c r="V4" s="272">
        <v>0</v>
      </c>
      <c r="W4" s="272">
        <v>0</v>
      </c>
      <c r="X4" s="272">
        <v>3394.8658700000001</v>
      </c>
      <c r="Y4" s="272">
        <v>0</v>
      </c>
      <c r="Z4" s="272">
        <v>0</v>
      </c>
      <c r="AA4" s="272">
        <v>0</v>
      </c>
      <c r="AB4" s="272">
        <v>3394.8658700000001</v>
      </c>
      <c r="AC4" s="171"/>
      <c r="AD4" s="272">
        <v>12726.137139999999</v>
      </c>
      <c r="AE4" s="157">
        <v>7411.00828</v>
      </c>
      <c r="AF4" s="184">
        <v>-50.358199999999997</v>
      </c>
      <c r="AG4" s="272">
        <v>-2713.7330899999997</v>
      </c>
      <c r="AH4" s="272">
        <v>0</v>
      </c>
      <c r="AI4" s="184">
        <v>52.21</v>
      </c>
      <c r="AJ4" s="272">
        <v>5262.7228299999997</v>
      </c>
      <c r="AK4" s="171"/>
      <c r="AL4" s="272">
        <v>24462.649000000001</v>
      </c>
      <c r="AM4" s="184">
        <v>48.217199999999998</v>
      </c>
      <c r="AN4" s="272">
        <v>-512.84400000000005</v>
      </c>
      <c r="AO4" s="343">
        <v>9078</v>
      </c>
      <c r="AP4" s="332">
        <v>9.1</v>
      </c>
      <c r="AQ4" s="448"/>
      <c r="AR4" s="449"/>
      <c r="AS4" s="455">
        <v>14830.85176</v>
      </c>
      <c r="AT4" s="272">
        <v>40703.815470000001</v>
      </c>
      <c r="AU4" s="450"/>
      <c r="AV4" s="334">
        <v>13800.597589999999</v>
      </c>
      <c r="AW4" s="334">
        <v>2274.8065699999997</v>
      </c>
      <c r="AX4" s="334">
        <v>3522.2202200000002</v>
      </c>
      <c r="AY4" s="334">
        <v>19597.624379999997</v>
      </c>
      <c r="AZ4" s="334">
        <v>13464.62448</v>
      </c>
      <c r="BA4" s="272">
        <v>34.78192</v>
      </c>
      <c r="BB4" s="333">
        <v>0</v>
      </c>
      <c r="BC4" s="272">
        <v>144.68610000000001</v>
      </c>
      <c r="BD4" s="272">
        <v>510.09246000000002</v>
      </c>
      <c r="BE4" s="334">
        <v>6858.6607100000001</v>
      </c>
      <c r="BF4" s="449"/>
      <c r="BG4" s="331">
        <v>4245.6000100000001</v>
      </c>
      <c r="BH4" s="331">
        <v>0</v>
      </c>
      <c r="BI4" s="331">
        <v>0</v>
      </c>
      <c r="BJ4" s="334">
        <v>2613.0607</v>
      </c>
      <c r="BK4" s="331">
        <v>0</v>
      </c>
      <c r="BL4" s="331">
        <v>0</v>
      </c>
      <c r="BM4" s="331">
        <v>0</v>
      </c>
      <c r="BN4" s="334">
        <v>2613.0607</v>
      </c>
      <c r="BO4" s="449"/>
      <c r="BP4" s="334">
        <v>15339.197840000001</v>
      </c>
      <c r="BQ4" s="311">
        <v>6853.9384500000006</v>
      </c>
      <c r="BR4" s="272">
        <v>-4.7222700000000009</v>
      </c>
      <c r="BS4" s="461">
        <v>-3825.7966699999997</v>
      </c>
      <c r="BT4" s="272">
        <v>116.78886</v>
      </c>
      <c r="BU4" s="272">
        <v>4.7222400000000002</v>
      </c>
      <c r="BV4" s="333">
        <v>6034.9234999999999</v>
      </c>
      <c r="BW4" s="449"/>
      <c r="BX4" s="272">
        <v>21247.932000000001</v>
      </c>
      <c r="BY4" s="469">
        <v>6.8956999999999997</v>
      </c>
      <c r="BZ4" s="469">
        <v>-3214.7170000000001</v>
      </c>
      <c r="CA4" s="552"/>
      <c r="CB4" s="335">
        <v>9.1</v>
      </c>
      <c r="CC4" s="471">
        <f t="shared" ref="CC4:CC67" si="0">CB4</f>
        <v>9.1</v>
      </c>
      <c r="CD4" s="558"/>
      <c r="CE4" s="272"/>
      <c r="CF4" s="262"/>
      <c r="CG4" s="171"/>
      <c r="CI4" s="158">
        <v>0</v>
      </c>
      <c r="CJ4" s="331">
        <v>14234.562006259295</v>
      </c>
      <c r="CK4" s="331">
        <v>13832.148649060646</v>
      </c>
      <c r="CL4" s="331">
        <v>14470.90752295699</v>
      </c>
      <c r="CM4" s="472">
        <v>14642.935187976127</v>
      </c>
      <c r="CN4" s="472">
        <v>14736.464297128387</v>
      </c>
      <c r="CO4" s="480">
        <v>1462.383</v>
      </c>
      <c r="CP4" s="557"/>
      <c r="CQ4" s="474">
        <v>0</v>
      </c>
      <c r="CR4" s="474">
        <v>0</v>
      </c>
    </row>
    <row r="5" spans="1:96" x14ac:dyDescent="0.2">
      <c r="A5" s="154">
        <v>9</v>
      </c>
      <c r="B5" s="156" t="s">
        <v>39</v>
      </c>
      <c r="C5" s="325">
        <v>2437</v>
      </c>
      <c r="D5" s="270">
        <v>9.36</v>
      </c>
      <c r="E5" s="185"/>
      <c r="G5" s="272">
        <v>2571.7532500000002</v>
      </c>
      <c r="H5" s="272">
        <v>9647.9118500000004</v>
      </c>
      <c r="I5" s="272"/>
      <c r="J5" s="272">
        <v>3888.28253</v>
      </c>
      <c r="K5" s="272">
        <v>256.39553000000001</v>
      </c>
      <c r="L5" s="272">
        <v>786.91356000000007</v>
      </c>
      <c r="M5" s="272">
        <v>4931.5916200000001</v>
      </c>
      <c r="N5" s="272">
        <v>3690.6019999999999</v>
      </c>
      <c r="O5" s="272">
        <v>60.10172</v>
      </c>
      <c r="P5" s="272">
        <v>288.81563</v>
      </c>
      <c r="Q5" s="272">
        <v>239.21592999999999</v>
      </c>
      <c r="R5" s="272">
        <v>31.87689</v>
      </c>
      <c r="S5" s="272">
        <v>1524.6601499999999</v>
      </c>
      <c r="U5" s="272">
        <v>865.50533999999993</v>
      </c>
      <c r="V5" s="272">
        <v>0</v>
      </c>
      <c r="W5" s="272">
        <v>0</v>
      </c>
      <c r="X5" s="272">
        <v>659.15481000000011</v>
      </c>
      <c r="Y5" s="272">
        <v>0</v>
      </c>
      <c r="Z5" s="272">
        <v>0</v>
      </c>
      <c r="AA5" s="272">
        <v>0</v>
      </c>
      <c r="AB5" s="272">
        <v>659.15481000000011</v>
      </c>
      <c r="AD5" s="272">
        <v>5499.7550799999999</v>
      </c>
      <c r="AE5" s="157">
        <v>1524.6601499999999</v>
      </c>
      <c r="AF5" s="184">
        <v>0</v>
      </c>
      <c r="AG5" s="272">
        <v>-1691.4806100000001</v>
      </c>
      <c r="AH5" s="272">
        <v>0</v>
      </c>
      <c r="AI5" s="184">
        <v>765.09081000000003</v>
      </c>
      <c r="AJ5" s="272">
        <v>4651.3579900000004</v>
      </c>
      <c r="AL5" s="272">
        <v>9000</v>
      </c>
      <c r="AM5" s="184">
        <v>-28.7</v>
      </c>
      <c r="AN5" s="272">
        <v>-2064.3899000000001</v>
      </c>
      <c r="AO5" s="343">
        <v>2410</v>
      </c>
      <c r="AP5" s="332">
        <v>9.3000000000000007</v>
      </c>
      <c r="AQ5" s="448"/>
      <c r="AS5" s="455">
        <v>2528.7648300000001</v>
      </c>
      <c r="AT5" s="272">
        <v>9472.5897599999989</v>
      </c>
      <c r="AU5" s="450"/>
      <c r="AV5" s="334">
        <v>3807.3420699999997</v>
      </c>
      <c r="AW5" s="334">
        <v>227.81795000000002</v>
      </c>
      <c r="AX5" s="334">
        <v>831.61473000000001</v>
      </c>
      <c r="AY5" s="334">
        <v>4866.7747499999996</v>
      </c>
      <c r="AZ5" s="334">
        <v>3662.0970000000002</v>
      </c>
      <c r="BA5" s="272">
        <v>65.519289999999998</v>
      </c>
      <c r="BB5" s="333">
        <v>431.57639</v>
      </c>
      <c r="BC5" s="272">
        <v>288.12225999999998</v>
      </c>
      <c r="BD5" s="272">
        <v>-106.90116999999999</v>
      </c>
      <c r="BE5" s="334">
        <v>1614.01315</v>
      </c>
      <c r="BG5" s="331">
        <v>876.42922999999996</v>
      </c>
      <c r="BH5" s="331">
        <v>0</v>
      </c>
      <c r="BI5" s="331">
        <v>0</v>
      </c>
      <c r="BJ5" s="334">
        <v>737.58392000000003</v>
      </c>
      <c r="BK5" s="331">
        <v>0</v>
      </c>
      <c r="BL5" s="331">
        <v>0</v>
      </c>
      <c r="BM5" s="331">
        <v>0</v>
      </c>
      <c r="BN5" s="334">
        <v>737.58392000000003</v>
      </c>
      <c r="BP5" s="334">
        <v>6237.3389999999999</v>
      </c>
      <c r="BQ5" s="311">
        <v>1614.01315</v>
      </c>
      <c r="BR5" s="272">
        <v>0</v>
      </c>
      <c r="BS5" s="461">
        <v>-2089.8853100000001</v>
      </c>
      <c r="BT5" s="272">
        <v>416.66899999999998</v>
      </c>
      <c r="BU5" s="272">
        <v>814.62281999999993</v>
      </c>
      <c r="BV5" s="333">
        <v>5331.6483900000003</v>
      </c>
      <c r="BX5" s="272">
        <v>10500</v>
      </c>
      <c r="BY5" s="469">
        <v>-1391.5250000000001</v>
      </c>
      <c r="BZ5" s="469">
        <v>1479.4929199999999</v>
      </c>
      <c r="CA5" s="552"/>
      <c r="CB5" s="335">
        <v>9.3000000000000007</v>
      </c>
      <c r="CC5" s="471">
        <f t="shared" si="0"/>
        <v>9.3000000000000007</v>
      </c>
      <c r="CD5" s="558"/>
      <c r="CE5" s="272"/>
      <c r="CF5" s="262"/>
      <c r="CI5" s="158">
        <v>0</v>
      </c>
      <c r="CJ5" s="331">
        <v>3802.3987339152018</v>
      </c>
      <c r="CK5" s="331">
        <v>3774.9218866221036</v>
      </c>
      <c r="CL5" s="331">
        <v>3921.8444591772713</v>
      </c>
      <c r="CM5" s="472">
        <v>4056.8611510067831</v>
      </c>
      <c r="CN5" s="472">
        <v>4096.0942474841177</v>
      </c>
      <c r="CO5" s="480">
        <v>-481.93700000000001</v>
      </c>
      <c r="CP5" s="557"/>
      <c r="CQ5" s="474">
        <v>0</v>
      </c>
      <c r="CR5" s="474">
        <v>0</v>
      </c>
    </row>
    <row r="6" spans="1:96" x14ac:dyDescent="0.2">
      <c r="A6" s="154">
        <v>10</v>
      </c>
      <c r="B6" s="156" t="s">
        <v>40</v>
      </c>
      <c r="C6" s="325">
        <v>10933</v>
      </c>
      <c r="D6" s="270">
        <v>8.61</v>
      </c>
      <c r="E6" s="185"/>
      <c r="G6" s="272">
        <v>9995.2627300000004</v>
      </c>
      <c r="H6" s="272">
        <v>39122.003280000004</v>
      </c>
      <c r="I6" s="272"/>
      <c r="J6" s="272">
        <v>15177.962680000001</v>
      </c>
      <c r="K6" s="272">
        <v>2552.0279799999998</v>
      </c>
      <c r="L6" s="272">
        <v>3162.5322500000002</v>
      </c>
      <c r="M6" s="272">
        <v>20892.52291</v>
      </c>
      <c r="N6" s="272">
        <v>12378.599</v>
      </c>
      <c r="O6" s="272">
        <v>344.67915999999997</v>
      </c>
      <c r="P6" s="272">
        <v>1188.65173</v>
      </c>
      <c r="Q6" s="272">
        <v>1659.2938000000001</v>
      </c>
      <c r="R6" s="272">
        <v>227.50842</v>
      </c>
      <c r="S6" s="272">
        <v>4956.5960100000002</v>
      </c>
      <c r="U6" s="272">
        <v>4800.0612000000001</v>
      </c>
      <c r="V6" s="272">
        <v>0</v>
      </c>
      <c r="W6" s="272">
        <v>1081.8143799999998</v>
      </c>
      <c r="X6" s="272">
        <v>-925.27956999999992</v>
      </c>
      <c r="Y6" s="272">
        <v>0</v>
      </c>
      <c r="Z6" s="272">
        <v>0</v>
      </c>
      <c r="AA6" s="272">
        <v>0</v>
      </c>
      <c r="AB6" s="272">
        <v>-925.27956999999992</v>
      </c>
      <c r="AD6" s="272">
        <v>16046.39769</v>
      </c>
      <c r="AE6" s="157">
        <v>4043.5532599999997</v>
      </c>
      <c r="AF6" s="184">
        <v>168.77163000000002</v>
      </c>
      <c r="AG6" s="272">
        <v>-13660.603859999999</v>
      </c>
      <c r="AH6" s="272">
        <v>859.85910000000001</v>
      </c>
      <c r="AI6" s="184">
        <v>2644.11528</v>
      </c>
      <c r="AJ6" s="272">
        <v>29123.293289999998</v>
      </c>
      <c r="AL6" s="272">
        <v>63261.745840000003</v>
      </c>
      <c r="AM6" s="184">
        <v>316.65552000000002</v>
      </c>
      <c r="AN6" s="272">
        <v>6818.3588399999999</v>
      </c>
      <c r="AO6" s="343">
        <v>10780</v>
      </c>
      <c r="AP6" s="332">
        <v>9.6</v>
      </c>
      <c r="AQ6" s="448"/>
      <c r="AS6" s="455">
        <v>10220.05824</v>
      </c>
      <c r="AT6" s="272">
        <v>37835.843059999999</v>
      </c>
      <c r="AU6" s="450"/>
      <c r="AV6" s="334">
        <v>17227.632879999997</v>
      </c>
      <c r="AW6" s="334">
        <v>2001.5111899999999</v>
      </c>
      <c r="AX6" s="334">
        <v>3382.98306</v>
      </c>
      <c r="AY6" s="334">
        <v>22612.127130000001</v>
      </c>
      <c r="AZ6" s="334">
        <v>11293.58</v>
      </c>
      <c r="BA6" s="272">
        <v>272.7636</v>
      </c>
      <c r="BB6" s="333">
        <v>1396.28279</v>
      </c>
      <c r="BC6" s="272">
        <v>1443.06186</v>
      </c>
      <c r="BD6" s="272">
        <v>361.86859000000004</v>
      </c>
      <c r="BE6" s="334">
        <v>6330.7853700000005</v>
      </c>
      <c r="BG6" s="331">
        <v>5142.55026</v>
      </c>
      <c r="BH6" s="331">
        <v>0</v>
      </c>
      <c r="BI6" s="331">
        <v>0</v>
      </c>
      <c r="BJ6" s="334">
        <v>1188.2351100000001</v>
      </c>
      <c r="BK6" s="331">
        <v>0</v>
      </c>
      <c r="BL6" s="331">
        <v>0</v>
      </c>
      <c r="BM6" s="331">
        <v>0</v>
      </c>
      <c r="BN6" s="334">
        <v>1188.2351100000001</v>
      </c>
      <c r="BP6" s="334">
        <v>17234.632799999999</v>
      </c>
      <c r="BQ6" s="311">
        <v>5892.4735899999996</v>
      </c>
      <c r="BR6" s="272">
        <v>-438.31178000000006</v>
      </c>
      <c r="BS6" s="461">
        <v>-5881.36996</v>
      </c>
      <c r="BT6" s="272">
        <v>299.24763000000002</v>
      </c>
      <c r="BU6" s="272">
        <v>853.49456999999995</v>
      </c>
      <c r="BV6" s="333">
        <v>24716.937699999999</v>
      </c>
      <c r="BX6" s="272">
        <v>59933.109680000001</v>
      </c>
      <c r="BY6" s="469">
        <v>165.87239000000002</v>
      </c>
      <c r="BZ6" s="469">
        <v>-3328.63616</v>
      </c>
      <c r="CA6" s="552"/>
      <c r="CB6" s="335">
        <v>9.6</v>
      </c>
      <c r="CC6" s="471">
        <f t="shared" si="0"/>
        <v>9.6</v>
      </c>
      <c r="CD6" s="558"/>
      <c r="CE6" s="272"/>
      <c r="CF6" s="262"/>
      <c r="CI6" s="158">
        <v>0</v>
      </c>
      <c r="CJ6" s="331">
        <v>11827.212682986723</v>
      </c>
      <c r="CK6" s="331">
        <v>11925.094535588374</v>
      </c>
      <c r="CL6" s="331">
        <v>12890.967853550399</v>
      </c>
      <c r="CM6" s="472">
        <v>13561.896604361636</v>
      </c>
      <c r="CN6" s="472">
        <v>14113.163516687706</v>
      </c>
      <c r="CO6" s="480">
        <v>-279.73099999999999</v>
      </c>
      <c r="CP6" s="557"/>
      <c r="CQ6" s="474">
        <v>224.40183999999999</v>
      </c>
      <c r="CR6" s="474">
        <v>83.188980000000001</v>
      </c>
    </row>
    <row r="7" spans="1:96" x14ac:dyDescent="0.2">
      <c r="A7" s="154">
        <v>16</v>
      </c>
      <c r="B7" s="156" t="s">
        <v>41</v>
      </c>
      <c r="C7" s="325">
        <v>7968</v>
      </c>
      <c r="D7" s="270">
        <v>8.11</v>
      </c>
      <c r="E7" s="185"/>
      <c r="G7" s="272">
        <v>6501.0224400000006</v>
      </c>
      <c r="H7" s="272">
        <v>28170.28098</v>
      </c>
      <c r="I7" s="272"/>
      <c r="J7" s="272">
        <v>13354.66186</v>
      </c>
      <c r="K7" s="272">
        <v>1596.22371</v>
      </c>
      <c r="L7" s="272">
        <v>3182.3204700000001</v>
      </c>
      <c r="M7" s="272">
        <v>18133.206039999997</v>
      </c>
      <c r="N7" s="272">
        <v>10265.561</v>
      </c>
      <c r="O7" s="272">
        <v>210.62617</v>
      </c>
      <c r="P7" s="272">
        <v>123.13639999999999</v>
      </c>
      <c r="Q7" s="272">
        <v>143.25492000000003</v>
      </c>
      <c r="R7" s="272">
        <v>112.33796000000001</v>
      </c>
      <c r="S7" s="272">
        <v>6848.9849100000001</v>
      </c>
      <c r="U7" s="272">
        <v>2956.1155600000002</v>
      </c>
      <c r="V7" s="272">
        <v>0</v>
      </c>
      <c r="W7" s="272">
        <v>0</v>
      </c>
      <c r="X7" s="272">
        <v>3892.8693499999999</v>
      </c>
      <c r="Y7" s="272">
        <v>-105.06763000000001</v>
      </c>
      <c r="Z7" s="272">
        <v>3500</v>
      </c>
      <c r="AA7" s="272">
        <v>0</v>
      </c>
      <c r="AB7" s="272">
        <v>497.93698000000001</v>
      </c>
      <c r="AD7" s="272">
        <v>16560.54435</v>
      </c>
      <c r="AE7" s="157">
        <v>7541.5340400000005</v>
      </c>
      <c r="AF7" s="184">
        <v>692.54912999999999</v>
      </c>
      <c r="AG7" s="272">
        <v>-11682.62529</v>
      </c>
      <c r="AH7" s="272">
        <v>480.28453999999999</v>
      </c>
      <c r="AI7" s="184">
        <v>5087.2410099999997</v>
      </c>
      <c r="AJ7" s="272">
        <v>399.46767999999997</v>
      </c>
      <c r="AL7" s="272">
        <v>6374.2118099999998</v>
      </c>
      <c r="AM7" s="184">
        <v>0</v>
      </c>
      <c r="AN7" s="272">
        <v>-750.78818999999999</v>
      </c>
      <c r="AO7" s="343">
        <v>7889</v>
      </c>
      <c r="AP7" s="332">
        <v>8.1</v>
      </c>
      <c r="AQ7" s="448"/>
      <c r="AS7" s="455">
        <v>5852.8618299999998</v>
      </c>
      <c r="AT7" s="272">
        <v>28096.640629999998</v>
      </c>
      <c r="AU7" s="450"/>
      <c r="AV7" s="334">
        <v>12891.63283</v>
      </c>
      <c r="AW7" s="334">
        <v>1348.3377499999999</v>
      </c>
      <c r="AX7" s="334">
        <v>3560.5853900000002</v>
      </c>
      <c r="AY7" s="334">
        <v>17800.555969999998</v>
      </c>
      <c r="AZ7" s="334">
        <v>7758.759</v>
      </c>
      <c r="BA7" s="272">
        <v>0</v>
      </c>
      <c r="BB7" s="333">
        <v>83.752179999999996</v>
      </c>
      <c r="BC7" s="272">
        <v>102.24286000000001</v>
      </c>
      <c r="BD7" s="272">
        <v>3.3512499999999998</v>
      </c>
      <c r="BE7" s="334">
        <v>3330.6756</v>
      </c>
      <c r="BG7" s="331">
        <v>3644.4125800000002</v>
      </c>
      <c r="BH7" s="331">
        <v>0</v>
      </c>
      <c r="BI7" s="331">
        <v>0</v>
      </c>
      <c r="BJ7" s="334">
        <v>-313.73697999999996</v>
      </c>
      <c r="BK7" s="334">
        <v>-17.08297</v>
      </c>
      <c r="BL7" s="331">
        <v>0</v>
      </c>
      <c r="BM7" s="331">
        <v>0</v>
      </c>
      <c r="BN7" s="334">
        <v>-296.65401000000003</v>
      </c>
      <c r="BP7" s="334">
        <v>16653.264209999998</v>
      </c>
      <c r="BQ7" s="311">
        <v>3484.259</v>
      </c>
      <c r="BR7" s="272">
        <v>153.58339999999998</v>
      </c>
      <c r="BS7" s="461">
        <v>-9615.8233</v>
      </c>
      <c r="BT7" s="272">
        <v>67.318010000000001</v>
      </c>
      <c r="BU7" s="272">
        <v>67.287600000000012</v>
      </c>
      <c r="BV7" s="333">
        <v>640.8699499999999</v>
      </c>
      <c r="BX7" s="272">
        <v>11893.2</v>
      </c>
      <c r="BY7" s="469">
        <v>0</v>
      </c>
      <c r="BZ7" s="469">
        <v>5518.98819</v>
      </c>
      <c r="CA7" s="552"/>
      <c r="CB7" s="335">
        <v>8.1</v>
      </c>
      <c r="CC7" s="471">
        <f t="shared" si="0"/>
        <v>8.1</v>
      </c>
      <c r="CD7" s="558"/>
      <c r="CE7" s="272"/>
      <c r="CF7" s="262"/>
      <c r="CI7" s="158">
        <v>0</v>
      </c>
      <c r="CJ7" s="331">
        <v>8512.1943077615597</v>
      </c>
      <c r="CK7" s="331">
        <v>7881.0902434244572</v>
      </c>
      <c r="CL7" s="331">
        <v>7972.3552057631014</v>
      </c>
      <c r="CM7" s="472">
        <v>8874.1278648029947</v>
      </c>
      <c r="CN7" s="472">
        <v>9094.6635539763483</v>
      </c>
      <c r="CO7" s="480">
        <v>-522.26400000000001</v>
      </c>
      <c r="CP7" s="557"/>
      <c r="CQ7" s="474">
        <v>1.06968</v>
      </c>
      <c r="CR7" s="474">
        <v>0</v>
      </c>
    </row>
    <row r="8" spans="1:96" x14ac:dyDescent="0.2">
      <c r="A8" s="154">
        <v>18</v>
      </c>
      <c r="B8" s="156" t="s">
        <v>42</v>
      </c>
      <c r="C8" s="325">
        <v>4700</v>
      </c>
      <c r="D8" s="270">
        <v>8.86</v>
      </c>
      <c r="E8" s="185"/>
      <c r="G8" s="272">
        <v>4017.16741</v>
      </c>
      <c r="H8" s="272">
        <v>17232.574949999998</v>
      </c>
      <c r="I8" s="272"/>
      <c r="J8" s="272">
        <v>9421.46738</v>
      </c>
      <c r="K8" s="272">
        <v>1152.64824</v>
      </c>
      <c r="L8" s="272">
        <v>1285.2098899999999</v>
      </c>
      <c r="M8" s="272">
        <v>11859.325510000001</v>
      </c>
      <c r="N8" s="272">
        <v>3522.4180000000001</v>
      </c>
      <c r="O8" s="272">
        <v>58.034889999999997</v>
      </c>
      <c r="P8" s="272">
        <v>471.82155</v>
      </c>
      <c r="Q8" s="272">
        <v>461.69396</v>
      </c>
      <c r="R8" s="272">
        <v>195.60297</v>
      </c>
      <c r="S8" s="272">
        <v>2018.6403</v>
      </c>
      <c r="U8" s="272">
        <v>1513.2139499999998</v>
      </c>
      <c r="V8" s="272">
        <v>0</v>
      </c>
      <c r="W8" s="272">
        <v>0</v>
      </c>
      <c r="X8" s="272">
        <v>505.42634999999996</v>
      </c>
      <c r="Y8" s="272">
        <v>0</v>
      </c>
      <c r="Z8" s="272">
        <v>0</v>
      </c>
      <c r="AA8" s="272">
        <v>0</v>
      </c>
      <c r="AB8" s="272">
        <v>505.42634999999996</v>
      </c>
      <c r="AD8" s="272">
        <v>7498.3540199999998</v>
      </c>
      <c r="AE8" s="157">
        <v>1934.96028</v>
      </c>
      <c r="AF8" s="184">
        <v>-83.680019999999999</v>
      </c>
      <c r="AG8" s="272">
        <v>-1196.5514699999999</v>
      </c>
      <c r="AH8" s="272">
        <v>0</v>
      </c>
      <c r="AI8" s="184">
        <v>96.396600000000007</v>
      </c>
      <c r="AJ8" s="272">
        <v>7466.7205199999999</v>
      </c>
      <c r="AL8" s="272">
        <v>18827.648730000001</v>
      </c>
      <c r="AM8" s="184">
        <v>0</v>
      </c>
      <c r="AN8" s="272">
        <v>-1871.68776</v>
      </c>
      <c r="AO8" s="343">
        <v>4651</v>
      </c>
      <c r="AP8" s="332">
        <v>8.9</v>
      </c>
      <c r="AQ8" s="448"/>
      <c r="AS8" s="455">
        <v>3906.2414900000003</v>
      </c>
      <c r="AT8" s="272">
        <v>17596.665710000001</v>
      </c>
      <c r="AU8" s="450"/>
      <c r="AV8" s="334">
        <v>9807.2866599999998</v>
      </c>
      <c r="AW8" s="334">
        <v>798.07987000000003</v>
      </c>
      <c r="AX8" s="334">
        <v>1335.6262300000001</v>
      </c>
      <c r="AY8" s="334">
        <v>11940.992759999999</v>
      </c>
      <c r="AZ8" s="334">
        <v>3110.1590000000001</v>
      </c>
      <c r="BA8" s="272">
        <v>17.04843</v>
      </c>
      <c r="BB8" s="333">
        <v>527.92529999999999</v>
      </c>
      <c r="BC8" s="272">
        <v>482.71401000000003</v>
      </c>
      <c r="BD8" s="272">
        <v>168.01801</v>
      </c>
      <c r="BE8" s="334">
        <v>1164.5466699999999</v>
      </c>
      <c r="BG8" s="331">
        <v>1768.9177400000001</v>
      </c>
      <c r="BH8" s="331">
        <v>0</v>
      </c>
      <c r="BI8" s="331">
        <v>0</v>
      </c>
      <c r="BJ8" s="334">
        <v>-604.37106999999992</v>
      </c>
      <c r="BK8" s="331">
        <v>0</v>
      </c>
      <c r="BL8" s="331">
        <v>0</v>
      </c>
      <c r="BM8" s="331">
        <v>0</v>
      </c>
      <c r="BN8" s="334">
        <v>-604.37106999999992</v>
      </c>
      <c r="BP8" s="334">
        <v>6893.9829499999996</v>
      </c>
      <c r="BQ8" s="311">
        <v>1147.9438700000001</v>
      </c>
      <c r="BR8" s="272">
        <v>-16.602799999999998</v>
      </c>
      <c r="BS8" s="461">
        <v>-4707.7883000000002</v>
      </c>
      <c r="BT8" s="272">
        <v>0</v>
      </c>
      <c r="BU8" s="272">
        <v>22.364999999999998</v>
      </c>
      <c r="BV8" s="333">
        <v>8331.2708299999995</v>
      </c>
      <c r="BX8" s="272">
        <v>22995.236060000003</v>
      </c>
      <c r="BY8" s="469">
        <v>0</v>
      </c>
      <c r="BZ8" s="469">
        <v>4167.5873300000003</v>
      </c>
      <c r="CA8" s="552"/>
      <c r="CB8" s="335">
        <v>9.1999999999999993</v>
      </c>
      <c r="CC8" s="471">
        <f t="shared" si="0"/>
        <v>9.1999999999999993</v>
      </c>
      <c r="CD8" s="558"/>
      <c r="CE8" s="272"/>
      <c r="CF8" s="262"/>
      <c r="CG8" s="260"/>
      <c r="CI8" s="158">
        <v>0</v>
      </c>
      <c r="CJ8" s="331">
        <v>3429.6636174132759</v>
      </c>
      <c r="CK8" s="331">
        <v>3354.6039196507363</v>
      </c>
      <c r="CL8" s="331">
        <v>3578.3507055384612</v>
      </c>
      <c r="CM8" s="472">
        <v>3662.9942374514512</v>
      </c>
      <c r="CN8" s="472">
        <v>3651.7747716464219</v>
      </c>
      <c r="CO8" s="480">
        <v>22.902000000000001</v>
      </c>
      <c r="CP8" s="557"/>
      <c r="CQ8" s="474">
        <v>0</v>
      </c>
      <c r="CR8" s="474">
        <v>0</v>
      </c>
    </row>
    <row r="9" spans="1:96" x14ac:dyDescent="0.2">
      <c r="A9" s="154">
        <v>19</v>
      </c>
      <c r="B9" s="156" t="s">
        <v>43</v>
      </c>
      <c r="C9" s="325">
        <v>3961</v>
      </c>
      <c r="D9" s="270">
        <v>8.86</v>
      </c>
      <c r="E9" s="185"/>
      <c r="G9" s="272">
        <v>2645.0346300000001</v>
      </c>
      <c r="H9" s="272">
        <v>13142.015240000001</v>
      </c>
      <c r="I9" s="272"/>
      <c r="J9" s="272">
        <v>7361.4130800000003</v>
      </c>
      <c r="K9" s="272">
        <v>630.30621999999994</v>
      </c>
      <c r="L9" s="272">
        <v>913.92156999999997</v>
      </c>
      <c r="M9" s="272">
        <v>8905.6408699999993</v>
      </c>
      <c r="N9" s="272">
        <v>3092.9859999999999</v>
      </c>
      <c r="O9" s="272">
        <v>0</v>
      </c>
      <c r="P9" s="272">
        <v>127.61708</v>
      </c>
      <c r="Q9" s="272">
        <v>31.324450000000002</v>
      </c>
      <c r="R9" s="272">
        <v>2.2479699999999996</v>
      </c>
      <c r="S9" s="272">
        <v>1403.1056599999999</v>
      </c>
      <c r="U9" s="272">
        <v>924.40859</v>
      </c>
      <c r="V9" s="272">
        <v>81.779679999999999</v>
      </c>
      <c r="W9" s="272">
        <v>0</v>
      </c>
      <c r="X9" s="272">
        <v>560.47675000000004</v>
      </c>
      <c r="Y9" s="272">
        <v>-33.87218</v>
      </c>
      <c r="Z9" s="272">
        <v>0</v>
      </c>
      <c r="AA9" s="272">
        <v>0</v>
      </c>
      <c r="AB9" s="272">
        <v>594.34893</v>
      </c>
      <c r="AD9" s="272">
        <v>4622.0649700000004</v>
      </c>
      <c r="AE9" s="157">
        <v>1390.5829099999999</v>
      </c>
      <c r="AF9" s="184">
        <v>-94.302429999999987</v>
      </c>
      <c r="AG9" s="272">
        <v>-2022.5264299999999</v>
      </c>
      <c r="AH9" s="272">
        <v>38.19</v>
      </c>
      <c r="AI9" s="184">
        <v>829.97753</v>
      </c>
      <c r="AJ9" s="272">
        <v>0</v>
      </c>
      <c r="AL9" s="272">
        <v>8000</v>
      </c>
      <c r="AM9" s="184">
        <v>0</v>
      </c>
      <c r="AN9" s="272">
        <v>-619.05999999999995</v>
      </c>
      <c r="AO9" s="343">
        <v>3966</v>
      </c>
      <c r="AP9" s="332">
        <v>8.9</v>
      </c>
      <c r="AQ9" s="448"/>
      <c r="AS9" s="455">
        <v>2642.6973599999997</v>
      </c>
      <c r="AT9" s="272">
        <v>13054.530349999999</v>
      </c>
      <c r="AU9" s="450"/>
      <c r="AV9" s="334">
        <v>7387.3833199999999</v>
      </c>
      <c r="AW9" s="334">
        <v>497.96302000000003</v>
      </c>
      <c r="AX9" s="334">
        <v>936.02381000000003</v>
      </c>
      <c r="AY9" s="334">
        <v>8821.3701500000006</v>
      </c>
      <c r="AZ9" s="334">
        <v>2068.7379999999998</v>
      </c>
      <c r="BA9" s="272">
        <v>0</v>
      </c>
      <c r="BB9" s="333">
        <v>175.78726999999998</v>
      </c>
      <c r="BC9" s="272">
        <v>51.572449999999996</v>
      </c>
      <c r="BD9" s="272">
        <v>1.0615899999999998</v>
      </c>
      <c r="BE9" s="334">
        <v>352.99874999999997</v>
      </c>
      <c r="BG9" s="331">
        <v>1050.2691399999999</v>
      </c>
      <c r="BH9" s="334">
        <v>0</v>
      </c>
      <c r="BI9" s="331">
        <v>0</v>
      </c>
      <c r="BJ9" s="334">
        <v>-697.27039000000002</v>
      </c>
      <c r="BK9" s="334">
        <v>0</v>
      </c>
      <c r="BL9" s="331">
        <v>0</v>
      </c>
      <c r="BM9" s="331">
        <v>0</v>
      </c>
      <c r="BN9" s="334">
        <v>-697.27039000000002</v>
      </c>
      <c r="BP9" s="334">
        <v>3744.7945799999998</v>
      </c>
      <c r="BQ9" s="311">
        <v>289.73879999999997</v>
      </c>
      <c r="BR9" s="272">
        <v>-63.259949999999996</v>
      </c>
      <c r="BS9" s="461">
        <v>-952.39096999999992</v>
      </c>
      <c r="BT9" s="272">
        <v>54.615000000000002</v>
      </c>
      <c r="BU9" s="272">
        <v>169.18135000000001</v>
      </c>
      <c r="BV9" s="333">
        <v>882.51188000000002</v>
      </c>
      <c r="BX9" s="272">
        <v>9000</v>
      </c>
      <c r="BY9" s="469">
        <v>0</v>
      </c>
      <c r="BZ9" s="469">
        <v>1000</v>
      </c>
      <c r="CA9" s="552"/>
      <c r="CB9" s="335">
        <v>8.9</v>
      </c>
      <c r="CC9" s="471">
        <f t="shared" si="0"/>
        <v>8.9</v>
      </c>
      <c r="CD9" s="558"/>
      <c r="CE9" s="272"/>
      <c r="CF9" s="262"/>
      <c r="CG9" s="260"/>
      <c r="CI9" s="158">
        <v>0</v>
      </c>
      <c r="CJ9" s="331">
        <v>2161.8758606241795</v>
      </c>
      <c r="CK9" s="331">
        <v>2243.3285226911603</v>
      </c>
      <c r="CL9" s="331">
        <v>2636.5933083075956</v>
      </c>
      <c r="CM9" s="472">
        <v>2579.6230329533546</v>
      </c>
      <c r="CN9" s="472">
        <v>2571.1259799414329</v>
      </c>
      <c r="CO9" s="480">
        <v>-987.25400000000002</v>
      </c>
      <c r="CP9" s="557"/>
      <c r="CQ9" s="474">
        <v>0</v>
      </c>
      <c r="CR9" s="474">
        <v>0</v>
      </c>
    </row>
    <row r="10" spans="1:96" x14ac:dyDescent="0.2">
      <c r="A10" s="154">
        <v>46</v>
      </c>
      <c r="B10" s="156" t="s">
        <v>44</v>
      </c>
      <c r="C10" s="325">
        <v>1320</v>
      </c>
      <c r="D10" s="270">
        <v>8.36</v>
      </c>
      <c r="E10" s="185"/>
      <c r="G10" s="272">
        <v>1440.6006</v>
      </c>
      <c r="H10" s="272">
        <v>5296.1766799999996</v>
      </c>
      <c r="I10" s="272"/>
      <c r="J10" s="272">
        <v>1757.7245399999999</v>
      </c>
      <c r="K10" s="272">
        <v>549.5783100000001</v>
      </c>
      <c r="L10" s="272">
        <v>582.96794</v>
      </c>
      <c r="M10" s="272">
        <v>2890.27079</v>
      </c>
      <c r="N10" s="272">
        <v>1877.7339999999999</v>
      </c>
      <c r="O10" s="272">
        <v>112.91471</v>
      </c>
      <c r="P10" s="272">
        <v>0</v>
      </c>
      <c r="Q10" s="272">
        <v>137.64222000000001</v>
      </c>
      <c r="R10" s="272">
        <v>7.4270000000000003E-2</v>
      </c>
      <c r="S10" s="272">
        <v>1182.8853100000001</v>
      </c>
      <c r="U10" s="272">
        <v>550.46759999999995</v>
      </c>
      <c r="V10" s="272">
        <v>0</v>
      </c>
      <c r="W10" s="272">
        <v>0</v>
      </c>
      <c r="X10" s="272">
        <v>632.41770999999994</v>
      </c>
      <c r="Y10" s="272">
        <v>0</v>
      </c>
      <c r="Z10" s="272">
        <v>0</v>
      </c>
      <c r="AA10" s="272">
        <v>0</v>
      </c>
      <c r="AB10" s="272">
        <v>632.41770999999994</v>
      </c>
      <c r="AD10" s="272">
        <v>9610.9510499999997</v>
      </c>
      <c r="AE10" s="157">
        <v>1178.12725</v>
      </c>
      <c r="AF10" s="184">
        <v>-4.7580600000000004</v>
      </c>
      <c r="AG10" s="272">
        <v>-606.19553000000008</v>
      </c>
      <c r="AH10" s="272">
        <v>0</v>
      </c>
      <c r="AI10" s="184">
        <v>4.7580600000000004</v>
      </c>
      <c r="AJ10" s="272">
        <v>6019.7584999999999</v>
      </c>
      <c r="AL10" s="272">
        <v>0</v>
      </c>
      <c r="AM10" s="184">
        <v>-40.180870000000006</v>
      </c>
      <c r="AN10" s="272">
        <v>0</v>
      </c>
      <c r="AO10" s="343">
        <v>1288</v>
      </c>
      <c r="AP10" s="332">
        <v>8.4</v>
      </c>
      <c r="AQ10" s="448"/>
      <c r="AS10" s="455">
        <v>1615.67183</v>
      </c>
      <c r="AT10" s="272">
        <v>5645.3830599999992</v>
      </c>
      <c r="AU10" s="450"/>
      <c r="AV10" s="334">
        <v>1858.91345</v>
      </c>
      <c r="AW10" s="334">
        <v>472.87673000000001</v>
      </c>
      <c r="AX10" s="334">
        <v>618.58040000000005</v>
      </c>
      <c r="AY10" s="334">
        <v>2950.3705800000002</v>
      </c>
      <c r="AZ10" s="334">
        <v>1907.452</v>
      </c>
      <c r="BA10" s="272">
        <v>126.24582000000001</v>
      </c>
      <c r="BB10" s="333">
        <v>0</v>
      </c>
      <c r="BC10" s="272">
        <v>225.53219000000001</v>
      </c>
      <c r="BD10" s="272">
        <v>68.442419999999998</v>
      </c>
      <c r="BE10" s="334">
        <v>1138.43192</v>
      </c>
      <c r="BG10" s="331">
        <v>649.82268999999997</v>
      </c>
      <c r="BH10" s="331">
        <v>0</v>
      </c>
      <c r="BI10" s="331">
        <v>0</v>
      </c>
      <c r="BJ10" s="334">
        <v>488.60922999999997</v>
      </c>
      <c r="BK10" s="331">
        <v>0</v>
      </c>
      <c r="BL10" s="331">
        <v>0</v>
      </c>
      <c r="BM10" s="334">
        <v>1.0102800000000001</v>
      </c>
      <c r="BN10" s="334">
        <v>487.59895</v>
      </c>
      <c r="BP10" s="334">
        <v>10098.549999999999</v>
      </c>
      <c r="BQ10" s="311">
        <v>1131.9303300000001</v>
      </c>
      <c r="BR10" s="272">
        <v>-6.5015900000000002</v>
      </c>
      <c r="BS10" s="461">
        <v>-442.39264000000003</v>
      </c>
      <c r="BT10" s="272">
        <v>0</v>
      </c>
      <c r="BU10" s="272">
        <v>48.83267</v>
      </c>
      <c r="BV10" s="333">
        <v>6761.1590400000005</v>
      </c>
      <c r="BX10" s="272">
        <v>0</v>
      </c>
      <c r="BY10" s="469">
        <v>-18.207090000000001</v>
      </c>
      <c r="BZ10" s="469">
        <v>0</v>
      </c>
      <c r="CA10" s="552"/>
      <c r="CB10" s="335">
        <v>8.4</v>
      </c>
      <c r="CC10" s="471">
        <f t="shared" si="0"/>
        <v>8.4</v>
      </c>
      <c r="CD10" s="558"/>
      <c r="CE10" s="272"/>
      <c r="CF10" s="262"/>
      <c r="CI10" s="158">
        <v>0</v>
      </c>
      <c r="CJ10" s="331">
        <v>2061.6675726728272</v>
      </c>
      <c r="CK10" s="331">
        <v>2022.4157511653405</v>
      </c>
      <c r="CL10" s="331">
        <v>2159.6925969646418</v>
      </c>
      <c r="CM10" s="472">
        <v>2280.1214445000842</v>
      </c>
      <c r="CN10" s="472">
        <v>2296.4629712398955</v>
      </c>
      <c r="CO10" s="480">
        <v>-353.51</v>
      </c>
      <c r="CP10" s="557"/>
      <c r="CQ10" s="474">
        <v>19.973939999999999</v>
      </c>
      <c r="CR10" s="474">
        <v>26.98498</v>
      </c>
    </row>
    <row r="11" spans="1:96" x14ac:dyDescent="0.2">
      <c r="A11" s="154">
        <v>47</v>
      </c>
      <c r="B11" s="156" t="s">
        <v>45</v>
      </c>
      <c r="C11" s="325">
        <v>1771</v>
      </c>
      <c r="D11" s="270">
        <v>8.61</v>
      </c>
      <c r="E11" s="185"/>
      <c r="G11" s="272">
        <v>2762.5285099999996</v>
      </c>
      <c r="H11" s="272">
        <v>10160.89754</v>
      </c>
      <c r="I11" s="272"/>
      <c r="J11" s="272">
        <v>3032.2939300000003</v>
      </c>
      <c r="K11" s="272">
        <v>592.20650999999998</v>
      </c>
      <c r="L11" s="272">
        <v>1005.2551500000001</v>
      </c>
      <c r="M11" s="272">
        <v>4629.7555899999998</v>
      </c>
      <c r="N11" s="272">
        <v>3700.0889400000001</v>
      </c>
      <c r="O11" s="272">
        <v>3.2259999999999997E-2</v>
      </c>
      <c r="P11" s="272">
        <v>9.5322999999999993</v>
      </c>
      <c r="Q11" s="272">
        <v>807.17863</v>
      </c>
      <c r="R11" s="272">
        <v>222.68893</v>
      </c>
      <c r="S11" s="272">
        <v>1506.46516</v>
      </c>
      <c r="U11" s="272">
        <v>470.38452000000001</v>
      </c>
      <c r="V11" s="272">
        <v>0</v>
      </c>
      <c r="W11" s="272">
        <v>0</v>
      </c>
      <c r="X11" s="272">
        <v>1036.0806399999999</v>
      </c>
      <c r="Y11" s="272">
        <v>-6.2313100000000006</v>
      </c>
      <c r="Z11" s="272">
        <v>0</v>
      </c>
      <c r="AA11" s="272">
        <v>0</v>
      </c>
      <c r="AB11" s="272">
        <v>1042.31195</v>
      </c>
      <c r="AD11" s="272">
        <v>14382.929559999999</v>
      </c>
      <c r="AE11" s="157">
        <v>1298.7039199999999</v>
      </c>
      <c r="AF11" s="184">
        <v>-207.76123999999999</v>
      </c>
      <c r="AG11" s="272">
        <v>-1230.70391</v>
      </c>
      <c r="AH11" s="272">
        <v>258.64132999999998</v>
      </c>
      <c r="AI11" s="184">
        <v>209.38749999999999</v>
      </c>
      <c r="AJ11" s="272">
        <v>6205.8004299999993</v>
      </c>
      <c r="AL11" s="272">
        <v>554</v>
      </c>
      <c r="AM11" s="184">
        <v>1.7077800000000001</v>
      </c>
      <c r="AN11" s="272">
        <v>-3757</v>
      </c>
      <c r="AO11" s="343">
        <v>1762</v>
      </c>
      <c r="AP11" s="332">
        <v>8.6</v>
      </c>
      <c r="AQ11" s="448"/>
      <c r="AS11" s="455">
        <v>2319.7502000000004</v>
      </c>
      <c r="AT11" s="272">
        <v>10378.152340000001</v>
      </c>
      <c r="AU11" s="450"/>
      <c r="AV11" s="334">
        <v>2946.3884199999998</v>
      </c>
      <c r="AW11" s="334">
        <v>451.38965999999999</v>
      </c>
      <c r="AX11" s="334">
        <v>1091.35536</v>
      </c>
      <c r="AY11" s="334">
        <v>4489.1334400000005</v>
      </c>
      <c r="AZ11" s="334">
        <v>3438.5650000000001</v>
      </c>
      <c r="BA11" s="272">
        <v>140.59482</v>
      </c>
      <c r="BB11" s="333">
        <v>55.702460000000002</v>
      </c>
      <c r="BC11" s="272">
        <v>727.65647999999999</v>
      </c>
      <c r="BD11" s="272">
        <v>189.09967</v>
      </c>
      <c r="BE11" s="334">
        <v>492.74546999999995</v>
      </c>
      <c r="BG11" s="331">
        <v>445.68112000000002</v>
      </c>
      <c r="BH11" s="331">
        <v>0</v>
      </c>
      <c r="BI11" s="331">
        <v>0</v>
      </c>
      <c r="BJ11" s="334">
        <v>47.064349999999997</v>
      </c>
      <c r="BK11" s="331">
        <v>-6.2313100000000006</v>
      </c>
      <c r="BL11" s="331">
        <v>0</v>
      </c>
      <c r="BM11" s="331">
        <v>0</v>
      </c>
      <c r="BN11" s="334">
        <v>53.295660000000005</v>
      </c>
      <c r="BP11" s="334">
        <v>14436.22522</v>
      </c>
      <c r="BQ11" s="311">
        <v>279.07931000000002</v>
      </c>
      <c r="BR11" s="272">
        <v>-213.66615999999999</v>
      </c>
      <c r="BS11" s="461">
        <v>-11721.717119999999</v>
      </c>
      <c r="BT11" s="272">
        <v>5148.9449299999997</v>
      </c>
      <c r="BU11" s="272">
        <v>152.8168</v>
      </c>
      <c r="BV11" s="333">
        <v>2262.9985299999998</v>
      </c>
      <c r="BX11" s="272">
        <v>2912.6120000000001</v>
      </c>
      <c r="BY11" s="469">
        <v>0</v>
      </c>
      <c r="BZ11" s="469">
        <v>2358.6120000000001</v>
      </c>
      <c r="CA11" s="552"/>
      <c r="CB11" s="335">
        <v>8.6</v>
      </c>
      <c r="CC11" s="471">
        <f t="shared" si="0"/>
        <v>8.6</v>
      </c>
      <c r="CD11" s="558"/>
      <c r="CE11" s="272"/>
      <c r="CF11" s="262"/>
      <c r="CG11" s="260"/>
      <c r="CI11" s="158">
        <v>0</v>
      </c>
      <c r="CJ11" s="331">
        <v>3464.3112417411148</v>
      </c>
      <c r="CK11" s="331">
        <v>3398.0877096863405</v>
      </c>
      <c r="CL11" s="331">
        <v>3569.6863776336259</v>
      </c>
      <c r="CM11" s="472">
        <v>3691.2163306793091</v>
      </c>
      <c r="CN11" s="472">
        <v>3704.3001787493895</v>
      </c>
      <c r="CO11" s="480">
        <v>-69.576999999999998</v>
      </c>
      <c r="CP11" s="557"/>
      <c r="CQ11" s="474">
        <v>0</v>
      </c>
      <c r="CR11" s="474">
        <v>0</v>
      </c>
    </row>
    <row r="12" spans="1:96" x14ac:dyDescent="0.2">
      <c r="A12" s="154">
        <v>49</v>
      </c>
      <c r="B12" s="156" t="s">
        <v>46</v>
      </c>
      <c r="C12" s="325">
        <v>314024</v>
      </c>
      <c r="D12" s="270">
        <v>5.3600000000000012</v>
      </c>
      <c r="E12" s="185"/>
      <c r="G12" s="272">
        <v>403918.04676999996</v>
      </c>
      <c r="H12" s="272">
        <v>1283297.09708</v>
      </c>
      <c r="I12" s="272"/>
      <c r="J12" s="272">
        <v>615847.31613000005</v>
      </c>
      <c r="K12" s="272">
        <v>152479.9431</v>
      </c>
      <c r="L12" s="272">
        <v>143060.23103</v>
      </c>
      <c r="M12" s="272">
        <v>911387.49025999999</v>
      </c>
      <c r="N12" s="272">
        <v>358855.32799999998</v>
      </c>
      <c r="O12" s="272">
        <v>17211.390059999998</v>
      </c>
      <c r="P12" s="272">
        <v>10170.096160000001</v>
      </c>
      <c r="Q12" s="272">
        <v>48423.974399999999</v>
      </c>
      <c r="R12" s="272">
        <v>2920.9068299999999</v>
      </c>
      <c r="S12" s="272">
        <v>454267.39976999996</v>
      </c>
      <c r="U12" s="272">
        <v>192648.74299</v>
      </c>
      <c r="V12" s="272">
        <v>0</v>
      </c>
      <c r="W12" s="272">
        <v>0</v>
      </c>
      <c r="X12" s="272">
        <v>261618.65677999999</v>
      </c>
      <c r="Y12" s="272">
        <v>-15767.5923</v>
      </c>
      <c r="Z12" s="272">
        <v>0</v>
      </c>
      <c r="AA12" s="272">
        <v>0</v>
      </c>
      <c r="AB12" s="272">
        <v>277386.24907999998</v>
      </c>
      <c r="AD12" s="272">
        <v>1325469.2176099999</v>
      </c>
      <c r="AE12" s="157">
        <v>378981.53629000002</v>
      </c>
      <c r="AF12" s="184">
        <v>-75285.86348</v>
      </c>
      <c r="AG12" s="272">
        <v>-296679.44479000004</v>
      </c>
      <c r="AH12" s="272">
        <v>4952.9787300000007</v>
      </c>
      <c r="AI12" s="184">
        <v>80072.375799999994</v>
      </c>
      <c r="AJ12" s="272">
        <v>1312911.99441</v>
      </c>
      <c r="AL12" s="272">
        <v>947770.46345000004</v>
      </c>
      <c r="AM12" s="184">
        <v>-20248.726210000001</v>
      </c>
      <c r="AN12" s="272">
        <v>-32489.915440000001</v>
      </c>
      <c r="AO12" s="343">
        <v>320931</v>
      </c>
      <c r="AP12" s="332">
        <v>5.3</v>
      </c>
      <c r="AQ12" s="448"/>
      <c r="AS12" s="455">
        <v>354872.81402999995</v>
      </c>
      <c r="AT12" s="272">
        <v>1342116.2487300001</v>
      </c>
      <c r="AU12" s="450"/>
      <c r="AV12" s="334">
        <v>526240.06814999995</v>
      </c>
      <c r="AW12" s="334">
        <v>140712.76243999999</v>
      </c>
      <c r="AX12" s="334">
        <v>162120.62192999999</v>
      </c>
      <c r="AY12" s="334">
        <v>829073.45251999993</v>
      </c>
      <c r="AZ12" s="334">
        <v>396679</v>
      </c>
      <c r="BA12" s="272">
        <v>15827.73676</v>
      </c>
      <c r="BB12" s="333">
        <v>9797.9469800000006</v>
      </c>
      <c r="BC12" s="272">
        <v>57394.202549999995</v>
      </c>
      <c r="BD12" s="272">
        <v>4006.5136699999998</v>
      </c>
      <c r="BE12" s="334">
        <v>306902.37772000005</v>
      </c>
      <c r="BG12" s="331">
        <v>201944.30434999999</v>
      </c>
      <c r="BH12" s="331">
        <v>0</v>
      </c>
      <c r="BI12" s="334">
        <v>0</v>
      </c>
      <c r="BJ12" s="334">
        <v>104958.07337</v>
      </c>
      <c r="BK12" s="334">
        <v>-15767.592279999999</v>
      </c>
      <c r="BL12" s="334">
        <v>0</v>
      </c>
      <c r="BM12" s="334">
        <v>0</v>
      </c>
      <c r="BN12" s="334">
        <v>120725.66565000001</v>
      </c>
      <c r="BP12" s="334">
        <v>1441211.1228500002</v>
      </c>
      <c r="BQ12" s="311">
        <v>299318.63086999999</v>
      </c>
      <c r="BR12" s="272">
        <v>-7583.7468499999995</v>
      </c>
      <c r="BS12" s="461">
        <v>-337028.40991000005</v>
      </c>
      <c r="BT12" s="272">
        <v>6440.6513099999993</v>
      </c>
      <c r="BU12" s="272">
        <v>8894.2746300000017</v>
      </c>
      <c r="BV12" s="333">
        <v>1245882.4583399999</v>
      </c>
      <c r="BX12" s="272">
        <v>911765.67795000004</v>
      </c>
      <c r="BY12" s="469">
        <v>16763.514940000001</v>
      </c>
      <c r="BZ12" s="469">
        <v>-36004.785499999998</v>
      </c>
      <c r="CA12" s="552"/>
      <c r="CB12" s="335">
        <v>5.3</v>
      </c>
      <c r="CC12" s="471">
        <f t="shared" si="0"/>
        <v>5.3</v>
      </c>
      <c r="CD12" s="558"/>
      <c r="CE12" s="272"/>
      <c r="CF12" s="262"/>
      <c r="CI12" s="158">
        <v>0</v>
      </c>
      <c r="CJ12" s="331">
        <v>453588.62292304513</v>
      </c>
      <c r="CK12" s="331">
        <v>474538.19962317112</v>
      </c>
      <c r="CL12" s="331">
        <v>488514.57035782567</v>
      </c>
      <c r="CM12" s="472">
        <v>516685.36476208497</v>
      </c>
      <c r="CN12" s="472">
        <v>528729.58210993791</v>
      </c>
      <c r="CO12" s="480">
        <v>7629.6019999999999</v>
      </c>
      <c r="CP12" s="557"/>
      <c r="CQ12" s="474">
        <v>10859.270349999999</v>
      </c>
      <c r="CR12" s="474">
        <v>8975.8812400000006</v>
      </c>
    </row>
    <row r="13" spans="1:96" x14ac:dyDescent="0.2">
      <c r="A13" s="154">
        <v>50</v>
      </c>
      <c r="B13" s="156" t="s">
        <v>47</v>
      </c>
      <c r="C13" s="325">
        <v>11184</v>
      </c>
      <c r="D13" s="270">
        <v>8.36</v>
      </c>
      <c r="E13" s="185"/>
      <c r="F13" s="157"/>
      <c r="G13" s="272">
        <v>9519.5324199999995</v>
      </c>
      <c r="H13" s="272">
        <v>37407.861720000001</v>
      </c>
      <c r="I13" s="272"/>
      <c r="J13" s="272">
        <v>20217.262549999999</v>
      </c>
      <c r="K13" s="272">
        <v>2537.2622299999998</v>
      </c>
      <c r="L13" s="272">
        <v>3388.5784800000001</v>
      </c>
      <c r="M13" s="272">
        <v>26143.10326</v>
      </c>
      <c r="N13" s="272">
        <v>7099.7219999999998</v>
      </c>
      <c r="O13" s="272">
        <v>112.50009</v>
      </c>
      <c r="P13" s="272">
        <v>748.19763999999998</v>
      </c>
      <c r="Q13" s="272">
        <v>185.06422000000001</v>
      </c>
      <c r="R13" s="272">
        <v>5.9592299999999998</v>
      </c>
      <c r="S13" s="272">
        <v>4897.9034000000001</v>
      </c>
      <c r="T13" s="157"/>
      <c r="U13" s="272">
        <v>4142.2550799999999</v>
      </c>
      <c r="V13" s="272">
        <v>0</v>
      </c>
      <c r="W13" s="272">
        <v>0</v>
      </c>
      <c r="X13" s="272">
        <v>755.6483199999999</v>
      </c>
      <c r="Y13" s="272">
        <v>-14.686540000000001</v>
      </c>
      <c r="Z13" s="272">
        <v>0</v>
      </c>
      <c r="AA13" s="272">
        <v>0</v>
      </c>
      <c r="AB13" s="272">
        <v>770.33485999999994</v>
      </c>
      <c r="AC13" s="157"/>
      <c r="AD13" s="272">
        <v>4477.6891599999999</v>
      </c>
      <c r="AE13" s="157">
        <v>4771.23117</v>
      </c>
      <c r="AF13" s="184">
        <v>-126.67223</v>
      </c>
      <c r="AG13" s="272">
        <v>-5332.3464000000004</v>
      </c>
      <c r="AH13" s="272">
        <v>0</v>
      </c>
      <c r="AI13" s="184">
        <v>308.00178000000005</v>
      </c>
      <c r="AJ13" s="272">
        <v>1022.45379</v>
      </c>
      <c r="AK13" s="157"/>
      <c r="AL13" s="272">
        <v>38722.813690000003</v>
      </c>
      <c r="AM13" s="184">
        <v>146.82163</v>
      </c>
      <c r="AN13" s="272">
        <v>3364.9696200000003</v>
      </c>
      <c r="AO13" s="343">
        <v>11084</v>
      </c>
      <c r="AP13" s="332">
        <v>8.9999999999999982</v>
      </c>
      <c r="AQ13" s="448"/>
      <c r="AR13" s="446"/>
      <c r="AS13" s="455">
        <v>9157.0214499999984</v>
      </c>
      <c r="AT13" s="272">
        <v>37157.544840000002</v>
      </c>
      <c r="AU13" s="450"/>
      <c r="AV13" s="334">
        <v>21629.167890000001</v>
      </c>
      <c r="AW13" s="334">
        <v>2142.0166300000001</v>
      </c>
      <c r="AX13" s="334">
        <v>3516.92065</v>
      </c>
      <c r="AY13" s="334">
        <v>27288.105170000003</v>
      </c>
      <c r="AZ13" s="334">
        <v>5063.6239999999998</v>
      </c>
      <c r="BA13" s="272">
        <v>116.98806</v>
      </c>
      <c r="BB13" s="333">
        <v>1004.73591</v>
      </c>
      <c r="BC13" s="272">
        <v>110.85282000000001</v>
      </c>
      <c r="BD13" s="272">
        <v>1.1929400000000001</v>
      </c>
      <c r="BE13" s="334">
        <v>3573.1178100000002</v>
      </c>
      <c r="BF13" s="446"/>
      <c r="BG13" s="331">
        <v>4205.7292900000002</v>
      </c>
      <c r="BH13" s="331">
        <v>0</v>
      </c>
      <c r="BI13" s="331">
        <v>0</v>
      </c>
      <c r="BJ13" s="334">
        <v>-632.61148000000003</v>
      </c>
      <c r="BK13" s="331">
        <v>-12.751149999999999</v>
      </c>
      <c r="BL13" s="331">
        <v>0</v>
      </c>
      <c r="BM13" s="331">
        <v>0</v>
      </c>
      <c r="BN13" s="334">
        <v>-619.86032999999998</v>
      </c>
      <c r="BO13" s="446"/>
      <c r="BP13" s="334">
        <v>3857.8288299999999</v>
      </c>
      <c r="BQ13" s="311">
        <v>3268.5035099999996</v>
      </c>
      <c r="BR13" s="272">
        <v>-304.61430000000001</v>
      </c>
      <c r="BS13" s="461">
        <v>-4044.6184500000004</v>
      </c>
      <c r="BT13" s="272">
        <v>0</v>
      </c>
      <c r="BU13" s="272">
        <v>175.39320000000001</v>
      </c>
      <c r="BV13" s="333">
        <v>991.05277000000001</v>
      </c>
      <c r="BW13" s="446"/>
      <c r="BX13" s="272">
        <v>39723.577669999999</v>
      </c>
      <c r="BY13" s="469">
        <v>25.978860000000001</v>
      </c>
      <c r="BZ13" s="469">
        <v>1000.7639799999999</v>
      </c>
      <c r="CA13" s="552"/>
      <c r="CB13" s="335">
        <v>9.4000000000000021</v>
      </c>
      <c r="CC13" s="471">
        <f t="shared" si="0"/>
        <v>9.4000000000000021</v>
      </c>
      <c r="CD13" s="558"/>
      <c r="CE13" s="272"/>
      <c r="CF13" s="262"/>
      <c r="CI13" s="158">
        <v>0</v>
      </c>
      <c r="CJ13" s="331">
        <v>4965.902948625966</v>
      </c>
      <c r="CK13" s="331">
        <v>5195.4664064669123</v>
      </c>
      <c r="CL13" s="331">
        <v>4534.4755360354047</v>
      </c>
      <c r="CM13" s="472">
        <v>5067.3235563884446</v>
      </c>
      <c r="CN13" s="472">
        <v>5173.4867033711525</v>
      </c>
      <c r="CO13" s="480">
        <v>-1109.278</v>
      </c>
      <c r="CP13" s="557"/>
      <c r="CQ13" s="474">
        <v>0</v>
      </c>
      <c r="CR13" s="474">
        <v>0</v>
      </c>
    </row>
    <row r="14" spans="1:96" x14ac:dyDescent="0.2">
      <c r="A14" s="154">
        <v>51</v>
      </c>
      <c r="B14" s="156" t="s">
        <v>48</v>
      </c>
      <c r="C14" s="325">
        <v>9143</v>
      </c>
      <c r="D14" s="270">
        <v>5.36</v>
      </c>
      <c r="E14" s="185"/>
      <c r="G14" s="272">
        <v>8429.9490800000003</v>
      </c>
      <c r="H14" s="272">
        <v>37405.401090000007</v>
      </c>
      <c r="I14" s="272"/>
      <c r="J14" s="272">
        <v>11935.331550000001</v>
      </c>
      <c r="K14" s="272">
        <v>2894.2556400000003</v>
      </c>
      <c r="L14" s="272">
        <v>25315.194760000002</v>
      </c>
      <c r="M14" s="272">
        <v>40144.781950000004</v>
      </c>
      <c r="N14" s="272">
        <v>-3955.5070000000001</v>
      </c>
      <c r="O14" s="272">
        <v>67.111770000000007</v>
      </c>
      <c r="P14" s="272">
        <v>255.05545999999998</v>
      </c>
      <c r="Q14" s="272">
        <v>619.34670999999992</v>
      </c>
      <c r="R14" s="272">
        <v>4.7998000000000003</v>
      </c>
      <c r="S14" s="272">
        <v>7640.42616</v>
      </c>
      <c r="U14" s="272">
        <v>4191.8310199999996</v>
      </c>
      <c r="V14" s="272">
        <v>0</v>
      </c>
      <c r="W14" s="272">
        <v>0</v>
      </c>
      <c r="X14" s="272">
        <v>3448.5951400000004</v>
      </c>
      <c r="Y14" s="272">
        <v>-2.73874</v>
      </c>
      <c r="Z14" s="272">
        <v>0</v>
      </c>
      <c r="AA14" s="272">
        <v>0</v>
      </c>
      <c r="AB14" s="272">
        <v>3451.3338799999997</v>
      </c>
      <c r="AD14" s="272">
        <v>80991.807410000009</v>
      </c>
      <c r="AE14" s="157">
        <v>7640.42616</v>
      </c>
      <c r="AF14" s="184">
        <v>0</v>
      </c>
      <c r="AG14" s="272">
        <v>-11474.102570000001</v>
      </c>
      <c r="AH14" s="272">
        <v>647.00459999999998</v>
      </c>
      <c r="AI14" s="184">
        <v>256.55099999999999</v>
      </c>
      <c r="AJ14" s="272">
        <v>23030.716230000002</v>
      </c>
      <c r="AL14" s="272">
        <v>6123.1949199999999</v>
      </c>
      <c r="AM14" s="184">
        <v>0</v>
      </c>
      <c r="AN14" s="272">
        <v>-1159.1593</v>
      </c>
      <c r="AO14" s="343">
        <v>9052</v>
      </c>
      <c r="AP14" s="332">
        <v>5.4</v>
      </c>
      <c r="AQ14" s="448"/>
      <c r="AS14" s="455">
        <v>7796.3025800000005</v>
      </c>
      <c r="AT14" s="272">
        <v>37943.584350000005</v>
      </c>
      <c r="AU14" s="450"/>
      <c r="AV14" s="334">
        <v>11300.9071</v>
      </c>
      <c r="AW14" s="334">
        <v>2927.2141799999999</v>
      </c>
      <c r="AX14" s="334">
        <v>26098.885630000001</v>
      </c>
      <c r="AY14" s="334">
        <v>40327.006909999996</v>
      </c>
      <c r="AZ14" s="334">
        <v>-4672.0540000000001</v>
      </c>
      <c r="BA14" s="272">
        <v>52.22278</v>
      </c>
      <c r="BB14" s="333">
        <v>289.66702000000004</v>
      </c>
      <c r="BC14" s="272">
        <v>1476.1365000000001</v>
      </c>
      <c r="BD14" s="272">
        <v>63.311750000000004</v>
      </c>
      <c r="BE14" s="334">
        <v>6683.0516500000003</v>
      </c>
      <c r="BG14" s="331">
        <v>5983.4775399999999</v>
      </c>
      <c r="BH14" s="331">
        <v>0</v>
      </c>
      <c r="BI14" s="334">
        <v>0</v>
      </c>
      <c r="BJ14" s="334">
        <v>699.57411000000002</v>
      </c>
      <c r="BK14" s="334">
        <v>-2.64385</v>
      </c>
      <c r="BL14" s="331">
        <v>0</v>
      </c>
      <c r="BM14" s="331">
        <v>0</v>
      </c>
      <c r="BN14" s="334">
        <v>702.21795999999995</v>
      </c>
      <c r="BP14" s="334">
        <v>81694.025369999988</v>
      </c>
      <c r="BQ14" s="311">
        <v>6683.0516500000003</v>
      </c>
      <c r="BR14" s="272">
        <v>0</v>
      </c>
      <c r="BS14" s="461">
        <v>-6690.3587800000005</v>
      </c>
      <c r="BT14" s="272">
        <v>388.3</v>
      </c>
      <c r="BU14" s="272">
        <v>58.994300000000003</v>
      </c>
      <c r="BV14" s="333">
        <v>21710.85456</v>
      </c>
      <c r="BX14" s="272">
        <v>5106.96119</v>
      </c>
      <c r="BY14" s="469">
        <v>0</v>
      </c>
      <c r="BZ14" s="469">
        <v>-1016.23373</v>
      </c>
      <c r="CA14" s="552"/>
      <c r="CB14" s="335">
        <v>6.4</v>
      </c>
      <c r="CC14" s="471">
        <f t="shared" si="0"/>
        <v>6.4</v>
      </c>
      <c r="CD14" s="558"/>
      <c r="CE14" s="272"/>
      <c r="CF14" s="262"/>
      <c r="CI14" s="158">
        <v>0</v>
      </c>
      <c r="CJ14" s="331">
        <v>-4038.0588319794815</v>
      </c>
      <c r="CK14" s="331">
        <v>-4166.9652909546976</v>
      </c>
      <c r="CL14" s="331">
        <v>-4775.0078857825383</v>
      </c>
      <c r="CM14" s="472">
        <v>-4468.0195804187206</v>
      </c>
      <c r="CN14" s="472">
        <v>-4816.0699650587385</v>
      </c>
      <c r="CO14" s="480">
        <v>-472.89699999999999</v>
      </c>
      <c r="CP14" s="557"/>
      <c r="CQ14" s="474">
        <v>0</v>
      </c>
      <c r="CR14" s="474">
        <v>0</v>
      </c>
    </row>
    <row r="15" spans="1:96" x14ac:dyDescent="0.2">
      <c r="A15" s="154">
        <v>52</v>
      </c>
      <c r="B15" s="156" t="s">
        <v>49</v>
      </c>
      <c r="C15" s="325">
        <v>2292</v>
      </c>
      <c r="D15" s="270">
        <v>9.86</v>
      </c>
      <c r="E15" s="185"/>
      <c r="G15" s="272">
        <v>2591.6978300000001</v>
      </c>
      <c r="H15" s="272">
        <v>9467.6978400000007</v>
      </c>
      <c r="I15" s="272"/>
      <c r="J15" s="272">
        <v>3690.80053</v>
      </c>
      <c r="K15" s="272">
        <v>692.74706999999989</v>
      </c>
      <c r="L15" s="272">
        <v>833.69174999999996</v>
      </c>
      <c r="M15" s="272">
        <v>5217.2393499999998</v>
      </c>
      <c r="N15" s="272">
        <v>3832.556</v>
      </c>
      <c r="O15" s="272">
        <v>64.713260000000005</v>
      </c>
      <c r="P15" s="272">
        <v>258.05851999999999</v>
      </c>
      <c r="Q15" s="272">
        <v>351.75457</v>
      </c>
      <c r="R15" s="272">
        <v>201.93849</v>
      </c>
      <c r="S15" s="272">
        <v>2130.2661600000001</v>
      </c>
      <c r="U15" s="272">
        <v>940.79786000000001</v>
      </c>
      <c r="V15" s="272">
        <v>0</v>
      </c>
      <c r="W15" s="272">
        <v>0</v>
      </c>
      <c r="X15" s="272">
        <v>1189.4683</v>
      </c>
      <c r="Y15" s="272">
        <v>0</v>
      </c>
      <c r="Z15" s="272">
        <v>0</v>
      </c>
      <c r="AA15" s="272">
        <v>0</v>
      </c>
      <c r="AB15" s="272">
        <v>1189.4683</v>
      </c>
      <c r="AD15" s="272">
        <v>5035.7918200000004</v>
      </c>
      <c r="AE15" s="157">
        <v>2136.4253900000003</v>
      </c>
      <c r="AF15" s="184">
        <v>6.15923</v>
      </c>
      <c r="AG15" s="272">
        <v>-1344.9396000000002</v>
      </c>
      <c r="AH15" s="272">
        <v>55</v>
      </c>
      <c r="AI15" s="184">
        <v>8.8781200000000009</v>
      </c>
      <c r="AJ15" s="272">
        <v>7445.1776</v>
      </c>
      <c r="AL15" s="272">
        <v>8750</v>
      </c>
      <c r="AM15" s="184">
        <v>35.739940000000004</v>
      </c>
      <c r="AN15" s="272">
        <v>-1200</v>
      </c>
      <c r="AO15" s="343">
        <v>2272</v>
      </c>
      <c r="AP15" s="332">
        <v>9.8000000000000007</v>
      </c>
      <c r="AQ15" s="448"/>
      <c r="AS15" s="455">
        <v>2563.1624400000001</v>
      </c>
      <c r="AT15" s="272">
        <v>9507.4933199999996</v>
      </c>
      <c r="AU15" s="450"/>
      <c r="AV15" s="334">
        <v>4029.0507000000002</v>
      </c>
      <c r="AW15" s="334">
        <v>610.53413</v>
      </c>
      <c r="AX15" s="334">
        <v>900.91279000000009</v>
      </c>
      <c r="AY15" s="334">
        <v>5540.4976200000001</v>
      </c>
      <c r="AZ15" s="334">
        <v>3569.9780000000001</v>
      </c>
      <c r="BA15" s="272">
        <v>55.357610000000001</v>
      </c>
      <c r="BB15" s="333">
        <v>274.86862000000002</v>
      </c>
      <c r="BC15" s="272">
        <v>136.55915999999999</v>
      </c>
      <c r="BD15" s="272">
        <v>36.144949999999994</v>
      </c>
      <c r="BE15" s="334">
        <v>2047.0479399999999</v>
      </c>
      <c r="BG15" s="331">
        <v>813.52148</v>
      </c>
      <c r="BH15" s="331">
        <v>0</v>
      </c>
      <c r="BI15" s="331">
        <v>0</v>
      </c>
      <c r="BJ15" s="334">
        <v>1233.52646</v>
      </c>
      <c r="BK15" s="331">
        <v>0</v>
      </c>
      <c r="BL15" s="331">
        <v>0</v>
      </c>
      <c r="BM15" s="331">
        <v>0</v>
      </c>
      <c r="BN15" s="334">
        <v>1233.52646</v>
      </c>
      <c r="BP15" s="334">
        <v>6269.3182800000004</v>
      </c>
      <c r="BQ15" s="311">
        <v>2047.0479399999999</v>
      </c>
      <c r="BR15" s="272">
        <v>0</v>
      </c>
      <c r="BS15" s="461">
        <v>-475.35557</v>
      </c>
      <c r="BT15" s="272">
        <v>55</v>
      </c>
      <c r="BU15" s="272">
        <v>4.19442</v>
      </c>
      <c r="BV15" s="333">
        <v>8242.4938299999994</v>
      </c>
      <c r="BX15" s="272">
        <v>8250</v>
      </c>
      <c r="BY15" s="469">
        <v>13.875540000000001</v>
      </c>
      <c r="BZ15" s="469">
        <v>-500</v>
      </c>
      <c r="CA15" s="552"/>
      <c r="CB15" s="335">
        <v>9.8000000000000007</v>
      </c>
      <c r="CC15" s="471">
        <f t="shared" si="0"/>
        <v>9.8000000000000007</v>
      </c>
      <c r="CD15" s="558"/>
      <c r="CE15" s="272"/>
      <c r="CF15" s="262"/>
      <c r="CG15" s="260"/>
      <c r="CI15" s="158">
        <v>0</v>
      </c>
      <c r="CJ15" s="331">
        <v>3453.9998984308204</v>
      </c>
      <c r="CK15" s="331">
        <v>3284.1767233962278</v>
      </c>
      <c r="CL15" s="331">
        <v>3468.0780232403945</v>
      </c>
      <c r="CM15" s="472">
        <v>3527.6088242046826</v>
      </c>
      <c r="CN15" s="472">
        <v>3400.6695604688675</v>
      </c>
      <c r="CO15" s="480">
        <v>250.15299999999999</v>
      </c>
      <c r="CP15" s="557"/>
      <c r="CQ15" s="474">
        <v>0</v>
      </c>
      <c r="CR15" s="474">
        <v>0</v>
      </c>
    </row>
    <row r="16" spans="1:96" x14ac:dyDescent="0.2">
      <c r="A16" s="154">
        <v>61</v>
      </c>
      <c r="B16" s="156" t="s">
        <v>50</v>
      </c>
      <c r="C16" s="325">
        <v>16469</v>
      </c>
      <c r="D16" s="270">
        <v>7.86</v>
      </c>
      <c r="E16" s="185"/>
      <c r="G16" s="272">
        <v>17860.513649999997</v>
      </c>
      <c r="H16" s="272">
        <v>54089.511109999999</v>
      </c>
      <c r="I16" s="272"/>
      <c r="J16" s="272">
        <v>26143.5602</v>
      </c>
      <c r="K16" s="272">
        <v>4741.3662599999998</v>
      </c>
      <c r="L16" s="272">
        <v>5316.26134</v>
      </c>
      <c r="M16" s="272">
        <v>36201.1878</v>
      </c>
      <c r="N16" s="272">
        <v>12868.508</v>
      </c>
      <c r="O16" s="272">
        <v>222.37875</v>
      </c>
      <c r="P16" s="272">
        <v>448.85041999999999</v>
      </c>
      <c r="Q16" s="272">
        <v>140.62514999999999</v>
      </c>
      <c r="R16" s="272">
        <v>7.4726099999999995</v>
      </c>
      <c r="S16" s="272">
        <v>12747.379210000001</v>
      </c>
      <c r="U16" s="272">
        <v>7250.5371699999996</v>
      </c>
      <c r="V16" s="272">
        <v>0</v>
      </c>
      <c r="W16" s="272">
        <v>0</v>
      </c>
      <c r="X16" s="272">
        <v>5496.8420400000005</v>
      </c>
      <c r="Y16" s="272">
        <v>-526.58665000000008</v>
      </c>
      <c r="Z16" s="272">
        <v>0</v>
      </c>
      <c r="AA16" s="272">
        <v>0</v>
      </c>
      <c r="AB16" s="272">
        <v>6023.4286900000006</v>
      </c>
      <c r="AD16" s="272">
        <v>18267.136660000004</v>
      </c>
      <c r="AE16" s="157">
        <v>12668.18922</v>
      </c>
      <c r="AF16" s="184">
        <v>-79.189990000000009</v>
      </c>
      <c r="AG16" s="272">
        <v>-9294.1707799999986</v>
      </c>
      <c r="AH16" s="272">
        <v>404</v>
      </c>
      <c r="AI16" s="184">
        <v>154.80876999999998</v>
      </c>
      <c r="AJ16" s="272">
        <v>17816.074120000001</v>
      </c>
      <c r="AL16" s="272">
        <v>54312.897960000002</v>
      </c>
      <c r="AM16" s="184">
        <v>168.18792999999999</v>
      </c>
      <c r="AN16" s="272">
        <v>-11239.35635</v>
      </c>
      <c r="AO16" s="343">
        <v>16478</v>
      </c>
      <c r="AP16" s="332">
        <v>8.1999999999999993</v>
      </c>
      <c r="AQ16" s="448"/>
      <c r="AS16" s="455">
        <v>17367.615100000003</v>
      </c>
      <c r="AT16" s="272">
        <v>54711.403720000002</v>
      </c>
      <c r="AU16" s="450"/>
      <c r="AV16" s="334">
        <v>27219.207890000001</v>
      </c>
      <c r="AW16" s="334">
        <v>3502.0857400000004</v>
      </c>
      <c r="AX16" s="334">
        <v>5431.7780899999998</v>
      </c>
      <c r="AY16" s="334">
        <v>36153.07172</v>
      </c>
      <c r="AZ16" s="334">
        <v>10110.457</v>
      </c>
      <c r="BA16" s="272">
        <v>434.57607999999999</v>
      </c>
      <c r="BB16" s="333">
        <v>450.91871000000003</v>
      </c>
      <c r="BC16" s="272">
        <v>163.12014000000002</v>
      </c>
      <c r="BD16" s="272">
        <v>8.3318300000000001</v>
      </c>
      <c r="BE16" s="334">
        <v>9058.1857799999998</v>
      </c>
      <c r="BG16" s="331">
        <v>7571.4701100000002</v>
      </c>
      <c r="BH16" s="331">
        <v>0</v>
      </c>
      <c r="BI16" s="331">
        <v>6320.3955800000003</v>
      </c>
      <c r="BJ16" s="334">
        <v>-4833.6799099999998</v>
      </c>
      <c r="BK16" s="334">
        <v>-606.75314000000003</v>
      </c>
      <c r="BL16" s="334">
        <v>0</v>
      </c>
      <c r="BM16" s="331">
        <v>0</v>
      </c>
      <c r="BN16" s="334">
        <v>-4226.9267699999991</v>
      </c>
      <c r="BP16" s="334">
        <v>14040.20989</v>
      </c>
      <c r="BQ16" s="311">
        <v>9023.4862300000004</v>
      </c>
      <c r="BR16" s="272">
        <v>6285.6960300000001</v>
      </c>
      <c r="BS16" s="461">
        <v>-6720.9745300000004</v>
      </c>
      <c r="BT16" s="272">
        <v>49.194019999999995</v>
      </c>
      <c r="BU16" s="272">
        <v>11121.491249999999</v>
      </c>
      <c r="BV16" s="333">
        <v>22560.882550000002</v>
      </c>
      <c r="BX16" s="272">
        <v>46244.418120000002</v>
      </c>
      <c r="BY16" s="469">
        <v>-200</v>
      </c>
      <c r="BZ16" s="469">
        <v>-8068.47984</v>
      </c>
      <c r="CA16" s="552"/>
      <c r="CB16" s="335">
        <v>8.5</v>
      </c>
      <c r="CC16" s="471">
        <f t="shared" si="0"/>
        <v>8.5</v>
      </c>
      <c r="CD16" s="558"/>
      <c r="CE16" s="272"/>
      <c r="CF16" s="262"/>
      <c r="CI16" s="158">
        <v>0</v>
      </c>
      <c r="CJ16" s="331">
        <v>13213.757569536179</v>
      </c>
      <c r="CK16" s="331">
        <v>13948.733581083292</v>
      </c>
      <c r="CL16" s="331">
        <v>13410.092834693858</v>
      </c>
      <c r="CM16" s="472">
        <v>14578.543077971241</v>
      </c>
      <c r="CN16" s="472">
        <v>14863.453426785394</v>
      </c>
      <c r="CO16" s="480">
        <v>2616.3589999999999</v>
      </c>
      <c r="CP16" s="557"/>
      <c r="CQ16" s="474">
        <v>0</v>
      </c>
      <c r="CR16" s="474">
        <v>0</v>
      </c>
    </row>
    <row r="17" spans="1:96" x14ac:dyDescent="0.2">
      <c r="A17" s="154">
        <v>69</v>
      </c>
      <c r="B17" s="156" t="s">
        <v>51</v>
      </c>
      <c r="C17" s="325">
        <v>6558</v>
      </c>
      <c r="D17" s="270">
        <v>9.86</v>
      </c>
      <c r="E17" s="185"/>
      <c r="G17" s="272">
        <v>4702.7692300000008</v>
      </c>
      <c r="H17" s="272">
        <v>25587.90698</v>
      </c>
      <c r="I17" s="272"/>
      <c r="J17" s="272">
        <v>11410.149640000001</v>
      </c>
      <c r="K17" s="272">
        <v>1846.40174</v>
      </c>
      <c r="L17" s="272">
        <v>3029.9000799999999</v>
      </c>
      <c r="M17" s="272">
        <v>16286.45146</v>
      </c>
      <c r="N17" s="272">
        <v>6982.8950000000004</v>
      </c>
      <c r="O17" s="272">
        <v>0.26512999999999998</v>
      </c>
      <c r="P17" s="272">
        <v>878.01945000000001</v>
      </c>
      <c r="Q17" s="272">
        <v>1382.9263500000002</v>
      </c>
      <c r="R17" s="272">
        <v>696.60450000000003</v>
      </c>
      <c r="S17" s="272">
        <v>2192.7762400000001</v>
      </c>
      <c r="U17" s="272">
        <v>2301.4972000000002</v>
      </c>
      <c r="V17" s="272">
        <v>0</v>
      </c>
      <c r="W17" s="272">
        <v>0</v>
      </c>
      <c r="X17" s="272">
        <v>-108.72096000000001</v>
      </c>
      <c r="Y17" s="272">
        <v>-85.466039999999992</v>
      </c>
      <c r="Z17" s="272">
        <v>0</v>
      </c>
      <c r="AA17" s="272">
        <v>0</v>
      </c>
      <c r="AB17" s="272">
        <v>-23.254919999999998</v>
      </c>
      <c r="AD17" s="272">
        <v>-6046.0950000000003</v>
      </c>
      <c r="AE17" s="157">
        <v>2077.9740500000003</v>
      </c>
      <c r="AF17" s="184">
        <v>-114.80219</v>
      </c>
      <c r="AG17" s="272">
        <v>-11370.552539999999</v>
      </c>
      <c r="AH17" s="272">
        <v>212.274</v>
      </c>
      <c r="AI17" s="184">
        <v>223.50299999999999</v>
      </c>
      <c r="AJ17" s="272">
        <v>20941.633010000001</v>
      </c>
      <c r="AL17" s="272">
        <v>56813.516240000004</v>
      </c>
      <c r="AM17" s="184">
        <v>-300</v>
      </c>
      <c r="AN17" s="272">
        <v>13898.821240000001</v>
      </c>
      <c r="AO17" s="343">
        <v>6492</v>
      </c>
      <c r="AP17" s="332">
        <v>10.199999999999999</v>
      </c>
      <c r="AQ17" s="448"/>
      <c r="AS17" s="455">
        <v>5770.6845499999999</v>
      </c>
      <c r="AT17" s="272">
        <v>24487.17368</v>
      </c>
      <c r="AU17" s="450"/>
      <c r="AV17" s="334">
        <v>12124.91684</v>
      </c>
      <c r="AW17" s="334">
        <v>1943.3704</v>
      </c>
      <c r="AX17" s="334">
        <v>3724.25146</v>
      </c>
      <c r="AY17" s="334">
        <v>17792.538700000001</v>
      </c>
      <c r="AZ17" s="334">
        <v>5452.7070000000003</v>
      </c>
      <c r="BA17" s="272">
        <v>4.3741099999999999</v>
      </c>
      <c r="BB17" s="333">
        <v>1312.9212399999999</v>
      </c>
      <c r="BC17" s="272">
        <v>2468.8575599999999</v>
      </c>
      <c r="BD17" s="272">
        <v>421.41811999999999</v>
      </c>
      <c r="BE17" s="334">
        <v>5267.6488799999997</v>
      </c>
      <c r="BG17" s="331">
        <v>2452.8577300000002</v>
      </c>
      <c r="BH17" s="334">
        <v>0</v>
      </c>
      <c r="BI17" s="331">
        <v>0</v>
      </c>
      <c r="BJ17" s="334">
        <v>2814.79115</v>
      </c>
      <c r="BK17" s="334">
        <v>-85.466039999999992</v>
      </c>
      <c r="BL17" s="334">
        <v>0</v>
      </c>
      <c r="BM17" s="334">
        <v>0</v>
      </c>
      <c r="BN17" s="334">
        <v>2900.2571899999998</v>
      </c>
      <c r="BP17" s="334">
        <v>-3145.83781</v>
      </c>
      <c r="BQ17" s="311">
        <v>5099.6682899999996</v>
      </c>
      <c r="BR17" s="272">
        <v>-167.98059000000001</v>
      </c>
      <c r="BS17" s="461">
        <v>-8889.8694299999988</v>
      </c>
      <c r="BT17" s="272">
        <v>0</v>
      </c>
      <c r="BU17" s="272">
        <v>1760.8801899999999</v>
      </c>
      <c r="BV17" s="333">
        <v>14622.423839999999</v>
      </c>
      <c r="BX17" s="272">
        <v>54801.21974</v>
      </c>
      <c r="BY17" s="469">
        <v>15</v>
      </c>
      <c r="BZ17" s="469">
        <v>-2012.2964999999999</v>
      </c>
      <c r="CA17" s="552"/>
      <c r="CB17" s="335">
        <v>10.199999999999999</v>
      </c>
      <c r="CC17" s="471">
        <f t="shared" si="0"/>
        <v>10.199999999999999</v>
      </c>
      <c r="CD17" s="558"/>
      <c r="CE17" s="272"/>
      <c r="CF17" s="262"/>
      <c r="CG17" s="260"/>
      <c r="CI17" s="158">
        <v>0</v>
      </c>
      <c r="CJ17" s="331">
        <v>4949.9449884732312</v>
      </c>
      <c r="CK17" s="331">
        <v>5115.7013104065863</v>
      </c>
      <c r="CL17" s="331">
        <v>5565.507614933289</v>
      </c>
      <c r="CM17" s="472">
        <v>5825.2270707152111</v>
      </c>
      <c r="CN17" s="472">
        <v>6055.6511915259234</v>
      </c>
      <c r="CO17" s="480">
        <v>683.94</v>
      </c>
      <c r="CP17" s="557"/>
      <c r="CQ17" s="474">
        <v>0</v>
      </c>
      <c r="CR17" s="474">
        <v>0</v>
      </c>
    </row>
    <row r="18" spans="1:96" x14ac:dyDescent="0.2">
      <c r="A18" s="154">
        <v>71</v>
      </c>
      <c r="B18" s="156" t="s">
        <v>52</v>
      </c>
      <c r="C18" s="325">
        <v>6473</v>
      </c>
      <c r="D18" s="270">
        <v>9.3600000000000012</v>
      </c>
      <c r="E18" s="185"/>
      <c r="G18" s="272">
        <v>6276.4245300000002</v>
      </c>
      <c r="H18" s="272">
        <v>27378.219920000003</v>
      </c>
      <c r="I18" s="272"/>
      <c r="J18" s="272">
        <v>10323.018480000001</v>
      </c>
      <c r="K18" s="272">
        <v>1270.6454099999999</v>
      </c>
      <c r="L18" s="272">
        <v>1964.3853899999999</v>
      </c>
      <c r="M18" s="272">
        <v>13558.049279999999</v>
      </c>
      <c r="N18" s="272">
        <v>10444.880999999999</v>
      </c>
      <c r="O18" s="272">
        <v>164.67035000000001</v>
      </c>
      <c r="P18" s="272">
        <v>955.7966899999999</v>
      </c>
      <c r="Q18" s="272">
        <v>3590.7835800000003</v>
      </c>
      <c r="R18" s="272">
        <v>2770.0105199999998</v>
      </c>
      <c r="S18" s="272">
        <v>2930.78161</v>
      </c>
      <c r="U18" s="272">
        <v>1479.1047699999999</v>
      </c>
      <c r="V18" s="272">
        <v>0</v>
      </c>
      <c r="W18" s="272">
        <v>0</v>
      </c>
      <c r="X18" s="272">
        <v>1451.6768400000001</v>
      </c>
      <c r="Y18" s="272">
        <v>0</v>
      </c>
      <c r="Z18" s="272">
        <v>0</v>
      </c>
      <c r="AA18" s="272">
        <v>0</v>
      </c>
      <c r="AB18" s="272">
        <v>1451.6768400000001</v>
      </c>
      <c r="AD18" s="272">
        <v>3652.7667900000001</v>
      </c>
      <c r="AE18" s="157">
        <v>2904.5315599999999</v>
      </c>
      <c r="AF18" s="184">
        <v>-26.250049999999998</v>
      </c>
      <c r="AG18" s="272">
        <v>-921.23649</v>
      </c>
      <c r="AH18" s="272">
        <v>51.335519999999995</v>
      </c>
      <c r="AI18" s="184">
        <v>51.71658</v>
      </c>
      <c r="AJ18" s="272">
        <v>8631.4993800000011</v>
      </c>
      <c r="AL18" s="272">
        <v>42655.384610000001</v>
      </c>
      <c r="AM18" s="184">
        <v>-22.717320000000001</v>
      </c>
      <c r="AN18" s="272">
        <v>63.384610000000002</v>
      </c>
      <c r="AO18" s="343">
        <v>6365</v>
      </c>
      <c r="AP18" s="332">
        <v>9.4</v>
      </c>
      <c r="AQ18" s="448"/>
      <c r="AS18" s="455">
        <v>6381.1991699999999</v>
      </c>
      <c r="AT18" s="272">
        <v>26944.76022</v>
      </c>
      <c r="AU18" s="450"/>
      <c r="AV18" s="334">
        <v>10630.989619999998</v>
      </c>
      <c r="AW18" s="334">
        <v>1009.49784</v>
      </c>
      <c r="AX18" s="334">
        <v>2261.3795299999997</v>
      </c>
      <c r="AY18" s="334">
        <v>13902.0566</v>
      </c>
      <c r="AZ18" s="334">
        <v>9283.5840000000007</v>
      </c>
      <c r="BA18" s="272">
        <v>188.36060999999998</v>
      </c>
      <c r="BB18" s="333">
        <v>892.08253000000002</v>
      </c>
      <c r="BC18" s="272">
        <v>475.74104999999997</v>
      </c>
      <c r="BD18" s="272">
        <v>104.42528999999999</v>
      </c>
      <c r="BE18" s="334">
        <v>2289.6733899999999</v>
      </c>
      <c r="BG18" s="331">
        <v>1666.02801</v>
      </c>
      <c r="BH18" s="331">
        <v>0</v>
      </c>
      <c r="BI18" s="331">
        <v>0</v>
      </c>
      <c r="BJ18" s="334">
        <v>623.64538000000005</v>
      </c>
      <c r="BK18" s="331">
        <v>0</v>
      </c>
      <c r="BL18" s="331">
        <v>0</v>
      </c>
      <c r="BM18" s="331">
        <v>0</v>
      </c>
      <c r="BN18" s="334">
        <v>623.64538000000005</v>
      </c>
      <c r="BP18" s="334">
        <v>4276.4121699999996</v>
      </c>
      <c r="BQ18" s="311">
        <v>2365.3818799999999</v>
      </c>
      <c r="BR18" s="272">
        <v>75.708490000000012</v>
      </c>
      <c r="BS18" s="461">
        <v>-1085.19868</v>
      </c>
      <c r="BT18" s="272">
        <v>104.77007</v>
      </c>
      <c r="BU18" s="272">
        <v>187.64721</v>
      </c>
      <c r="BV18" s="333">
        <v>9227.3236199999992</v>
      </c>
      <c r="BX18" s="272">
        <v>44852.91347</v>
      </c>
      <c r="BY18" s="469">
        <v>-2584.7775000000001</v>
      </c>
      <c r="BZ18" s="469">
        <v>2197.5288599999999</v>
      </c>
      <c r="CA18" s="552"/>
      <c r="CB18" s="335">
        <v>9.4</v>
      </c>
      <c r="CC18" s="471">
        <f t="shared" si="0"/>
        <v>9.4</v>
      </c>
      <c r="CD18" s="558"/>
      <c r="CE18" s="272"/>
      <c r="CF18" s="262"/>
      <c r="CI18" s="158">
        <v>0</v>
      </c>
      <c r="CJ18" s="331">
        <v>9760.2605587886173</v>
      </c>
      <c r="CK18" s="331">
        <v>10046.098917319237</v>
      </c>
      <c r="CL18" s="331">
        <v>10314.183279364188</v>
      </c>
      <c r="CM18" s="472">
        <v>10865.40360045188</v>
      </c>
      <c r="CN18" s="472">
        <v>11190.208635655985</v>
      </c>
      <c r="CO18" s="480">
        <v>801.07</v>
      </c>
      <c r="CP18" s="557"/>
      <c r="CQ18" s="474">
        <v>0</v>
      </c>
      <c r="CR18" s="474">
        <v>0</v>
      </c>
    </row>
    <row r="19" spans="1:96" x14ac:dyDescent="0.2">
      <c r="A19" s="154">
        <v>72</v>
      </c>
      <c r="B19" s="156" t="s">
        <v>53</v>
      </c>
      <c r="C19" s="325">
        <v>948</v>
      </c>
      <c r="D19" s="270">
        <v>7.86</v>
      </c>
      <c r="E19" s="185"/>
      <c r="G19" s="272">
        <v>1563.8448999999998</v>
      </c>
      <c r="H19" s="272">
        <v>4415.4777899999999</v>
      </c>
      <c r="I19" s="272"/>
      <c r="J19" s="272">
        <v>1604.4403799999998</v>
      </c>
      <c r="K19" s="272">
        <v>118.64877</v>
      </c>
      <c r="L19" s="272">
        <v>367.75292999999999</v>
      </c>
      <c r="M19" s="272">
        <v>2090.8420799999999</v>
      </c>
      <c r="N19" s="272">
        <v>1501.981</v>
      </c>
      <c r="O19" s="272">
        <v>8.8604099999999999</v>
      </c>
      <c r="P19" s="272">
        <v>16.51145</v>
      </c>
      <c r="Q19" s="272">
        <v>12.347899999999999</v>
      </c>
      <c r="R19" s="272">
        <v>15.184760000000001</v>
      </c>
      <c r="S19" s="272">
        <v>730.70229000000006</v>
      </c>
      <c r="U19" s="272">
        <v>724.97107999999992</v>
      </c>
      <c r="V19" s="272">
        <v>0</v>
      </c>
      <c r="W19" s="272">
        <v>0</v>
      </c>
      <c r="X19" s="272">
        <v>5.7312099999999999</v>
      </c>
      <c r="Y19" s="272">
        <v>-88.327199999999991</v>
      </c>
      <c r="Z19" s="272">
        <v>0</v>
      </c>
      <c r="AA19" s="272">
        <v>0</v>
      </c>
      <c r="AB19" s="272">
        <v>94.058410000000009</v>
      </c>
      <c r="AD19" s="272">
        <v>3630.1430799999998</v>
      </c>
      <c r="AE19" s="157">
        <v>730.70229000000006</v>
      </c>
      <c r="AF19" s="184">
        <v>0</v>
      </c>
      <c r="AG19" s="272">
        <v>-183.28359</v>
      </c>
      <c r="AH19" s="272">
        <v>35.377809999999997</v>
      </c>
      <c r="AI19" s="184">
        <v>0</v>
      </c>
      <c r="AJ19" s="272">
        <v>854.9905500000001</v>
      </c>
      <c r="AL19" s="272">
        <v>1501.4950000000001</v>
      </c>
      <c r="AM19" s="184">
        <v>0</v>
      </c>
      <c r="AN19" s="272">
        <v>-340.92200000000003</v>
      </c>
      <c r="AO19" s="343">
        <v>927</v>
      </c>
      <c r="AP19" s="332">
        <v>7.9</v>
      </c>
      <c r="AQ19" s="448"/>
      <c r="AS19" s="455">
        <v>1532.50901</v>
      </c>
      <c r="AT19" s="272">
        <v>4541.5990899999997</v>
      </c>
      <c r="AU19" s="450"/>
      <c r="AV19" s="334">
        <v>1498.5411100000001</v>
      </c>
      <c r="AW19" s="334">
        <v>101.11819</v>
      </c>
      <c r="AX19" s="334">
        <v>403.55599000000001</v>
      </c>
      <c r="AY19" s="334">
        <v>2003.2152900000001</v>
      </c>
      <c r="AZ19" s="334">
        <v>1213.98</v>
      </c>
      <c r="BA19" s="272">
        <v>10.426069999999999</v>
      </c>
      <c r="BB19" s="333">
        <v>14.85596</v>
      </c>
      <c r="BC19" s="272">
        <v>2.9546199999999998</v>
      </c>
      <c r="BD19" s="272">
        <v>3.8778099999999998</v>
      </c>
      <c r="BE19" s="334">
        <v>202.75212999999999</v>
      </c>
      <c r="BG19" s="331">
        <v>459.70799</v>
      </c>
      <c r="BH19" s="334">
        <v>0</v>
      </c>
      <c r="BI19" s="331">
        <v>0</v>
      </c>
      <c r="BJ19" s="334">
        <v>-256.95585999999997</v>
      </c>
      <c r="BK19" s="334">
        <v>-88.327199999999991</v>
      </c>
      <c r="BL19" s="334">
        <v>0</v>
      </c>
      <c r="BM19" s="331">
        <v>0</v>
      </c>
      <c r="BN19" s="334">
        <v>-168.62866</v>
      </c>
      <c r="BP19" s="334">
        <v>3461.51442</v>
      </c>
      <c r="BQ19" s="311">
        <v>198.91926000000001</v>
      </c>
      <c r="BR19" s="272">
        <v>-3.8328699999999998</v>
      </c>
      <c r="BS19" s="461">
        <v>-244.43155999999999</v>
      </c>
      <c r="BT19" s="272">
        <v>27.808689999999999</v>
      </c>
      <c r="BU19" s="272">
        <v>4.5599999999999996</v>
      </c>
      <c r="BV19" s="333">
        <v>563.92269999999996</v>
      </c>
      <c r="BX19" s="272">
        <v>1196.0730000000001</v>
      </c>
      <c r="BY19" s="469">
        <v>0</v>
      </c>
      <c r="BZ19" s="469">
        <v>-305.42200000000003</v>
      </c>
      <c r="CA19" s="552"/>
      <c r="CB19" s="335">
        <v>8.9</v>
      </c>
      <c r="CC19" s="471">
        <f t="shared" si="0"/>
        <v>8.9</v>
      </c>
      <c r="CD19" s="558"/>
      <c r="CE19" s="272"/>
      <c r="CF19" s="262"/>
      <c r="CI19" s="158">
        <v>0</v>
      </c>
      <c r="CJ19" s="331">
        <v>1409.4036385993086</v>
      </c>
      <c r="CK19" s="331">
        <v>1345.0203026988204</v>
      </c>
      <c r="CL19" s="331">
        <v>1173.1047003120809</v>
      </c>
      <c r="CM19" s="472">
        <v>1310.4447009019864</v>
      </c>
      <c r="CN19" s="472">
        <v>1354.0614117204789</v>
      </c>
      <c r="CO19" s="480">
        <v>-244.16200000000001</v>
      </c>
      <c r="CP19" s="557"/>
      <c r="CQ19" s="474">
        <v>0</v>
      </c>
      <c r="CR19" s="474">
        <v>0</v>
      </c>
    </row>
    <row r="20" spans="1:96" x14ac:dyDescent="0.2">
      <c r="A20" s="154">
        <v>74</v>
      </c>
      <c r="B20" s="156" t="s">
        <v>54</v>
      </c>
      <c r="C20" s="325">
        <v>1013</v>
      </c>
      <c r="D20" s="270">
        <v>10.86</v>
      </c>
      <c r="E20" s="185"/>
      <c r="G20" s="272">
        <v>1366.63831</v>
      </c>
      <c r="H20" s="272">
        <v>4732.2432699999999</v>
      </c>
      <c r="I20" s="272"/>
      <c r="J20" s="272">
        <v>1842.4441100000001</v>
      </c>
      <c r="K20" s="272">
        <v>344.60977000000003</v>
      </c>
      <c r="L20" s="272">
        <v>385.42240000000004</v>
      </c>
      <c r="M20" s="272">
        <v>2572.4762799999999</v>
      </c>
      <c r="N20" s="272">
        <v>1132.3979999999999</v>
      </c>
      <c r="O20" s="272">
        <v>1.17875</v>
      </c>
      <c r="P20" s="272">
        <v>170.44084000000001</v>
      </c>
      <c r="Q20" s="272">
        <v>23.856630000000003</v>
      </c>
      <c r="R20" s="272">
        <v>2.3444499999999997</v>
      </c>
      <c r="S20" s="272">
        <v>191.51940999999999</v>
      </c>
      <c r="U20" s="272">
        <v>155.59868</v>
      </c>
      <c r="V20" s="272">
        <v>0</v>
      </c>
      <c r="W20" s="272">
        <v>0</v>
      </c>
      <c r="X20" s="272">
        <v>35.920730000000006</v>
      </c>
      <c r="Y20" s="272">
        <v>0</v>
      </c>
      <c r="Z20" s="272">
        <v>0</v>
      </c>
      <c r="AA20" s="272">
        <v>0</v>
      </c>
      <c r="AB20" s="272">
        <v>35.920730000000006</v>
      </c>
      <c r="AD20" s="272">
        <v>1271.05492</v>
      </c>
      <c r="AE20" s="157">
        <v>180.01940999999999</v>
      </c>
      <c r="AF20" s="184">
        <v>-11.5</v>
      </c>
      <c r="AG20" s="272">
        <v>-581.97685000000001</v>
      </c>
      <c r="AH20" s="272">
        <v>0</v>
      </c>
      <c r="AI20" s="184">
        <v>11.5</v>
      </c>
      <c r="AJ20" s="272">
        <v>126.72946</v>
      </c>
      <c r="AL20" s="272">
        <v>5083.1761100000003</v>
      </c>
      <c r="AM20" s="184">
        <v>25.032919999999997</v>
      </c>
      <c r="AN20" s="272">
        <v>-211.17276000000001</v>
      </c>
      <c r="AO20" s="343">
        <v>985</v>
      </c>
      <c r="AP20" s="332">
        <v>10.800000000000002</v>
      </c>
      <c r="AQ20" s="448"/>
      <c r="AS20" s="455">
        <v>1560.45532</v>
      </c>
      <c r="AT20" s="272">
        <v>4908.9359199999999</v>
      </c>
      <c r="AU20" s="450"/>
      <c r="AV20" s="334">
        <v>1785.68631</v>
      </c>
      <c r="AW20" s="334">
        <v>292.77028999999999</v>
      </c>
      <c r="AX20" s="334">
        <v>417.96057000000002</v>
      </c>
      <c r="AY20" s="334">
        <v>2496.4171699999997</v>
      </c>
      <c r="AZ20" s="334">
        <v>1227.06</v>
      </c>
      <c r="BA20" s="272">
        <v>4.3850800000000003</v>
      </c>
      <c r="BB20" s="333">
        <v>189.24620999999999</v>
      </c>
      <c r="BC20" s="272">
        <v>8.1968099999999993</v>
      </c>
      <c r="BD20" s="272">
        <v>1.27525</v>
      </c>
      <c r="BE20" s="334">
        <v>197.05699999999999</v>
      </c>
      <c r="BG20" s="331">
        <v>163.63129999999998</v>
      </c>
      <c r="BH20" s="331">
        <v>0</v>
      </c>
      <c r="BI20" s="331">
        <v>0</v>
      </c>
      <c r="BJ20" s="334">
        <v>33.425699999999999</v>
      </c>
      <c r="BK20" s="331">
        <v>0</v>
      </c>
      <c r="BL20" s="331">
        <v>0</v>
      </c>
      <c r="BM20" s="331">
        <v>0</v>
      </c>
      <c r="BN20" s="334">
        <v>33.425699999999999</v>
      </c>
      <c r="BP20" s="334">
        <v>1304.4806199999998</v>
      </c>
      <c r="BQ20" s="311">
        <v>197.05699999999999</v>
      </c>
      <c r="BR20" s="272">
        <v>0</v>
      </c>
      <c r="BS20" s="461">
        <v>-190.09292000000002</v>
      </c>
      <c r="BT20" s="272">
        <v>0</v>
      </c>
      <c r="BU20" s="272">
        <v>0</v>
      </c>
      <c r="BV20" s="333">
        <v>17.90935</v>
      </c>
      <c r="BX20" s="272">
        <v>4941.64275</v>
      </c>
      <c r="BY20" s="469">
        <v>48.032919999999997</v>
      </c>
      <c r="BZ20" s="469">
        <v>-141.51344</v>
      </c>
      <c r="CA20" s="552"/>
      <c r="CB20" s="335">
        <v>10.8</v>
      </c>
      <c r="CC20" s="471">
        <f t="shared" si="0"/>
        <v>10.8</v>
      </c>
      <c r="CD20" s="558"/>
      <c r="CE20" s="272"/>
      <c r="CF20" s="262"/>
      <c r="CG20" s="260"/>
      <c r="CI20" s="158">
        <v>0</v>
      </c>
      <c r="CJ20" s="331">
        <v>1315.3599865377084</v>
      </c>
      <c r="CK20" s="331">
        <v>1326.1257235786197</v>
      </c>
      <c r="CL20" s="331">
        <v>1406.3417152808122</v>
      </c>
      <c r="CM20" s="472">
        <v>1470.6831032374903</v>
      </c>
      <c r="CN20" s="472">
        <v>1542.1446294503612</v>
      </c>
      <c r="CO20" s="480">
        <v>-288.84699999999998</v>
      </c>
      <c r="CP20" s="557"/>
      <c r="CQ20" s="474">
        <v>0</v>
      </c>
      <c r="CR20" s="474">
        <v>0</v>
      </c>
    </row>
    <row r="21" spans="1:96" x14ac:dyDescent="0.2">
      <c r="A21" s="154">
        <v>75</v>
      </c>
      <c r="B21" s="156" t="s">
        <v>55</v>
      </c>
      <c r="C21" s="325">
        <v>19534</v>
      </c>
      <c r="D21" s="270">
        <v>8.36</v>
      </c>
      <c r="E21" s="185"/>
      <c r="G21" s="272">
        <v>21278.173409999999</v>
      </c>
      <c r="H21" s="272">
        <v>68134.523939999999</v>
      </c>
      <c r="I21" s="272"/>
      <c r="J21" s="272">
        <v>37420.824500000002</v>
      </c>
      <c r="K21" s="272">
        <v>12136.824430000001</v>
      </c>
      <c r="L21" s="272">
        <v>7747.0695700000006</v>
      </c>
      <c r="M21" s="272">
        <v>57304.718500000003</v>
      </c>
      <c r="N21" s="272">
        <v>2513.806</v>
      </c>
      <c r="O21" s="272">
        <v>463.61684000000002</v>
      </c>
      <c r="P21" s="272">
        <v>663.30464000000006</v>
      </c>
      <c r="Q21" s="272">
        <v>1117.8181000000002</v>
      </c>
      <c r="R21" s="272">
        <v>268.17649</v>
      </c>
      <c r="S21" s="272">
        <v>13922.25575</v>
      </c>
      <c r="U21" s="272">
        <v>10150.757869999999</v>
      </c>
      <c r="V21" s="272">
        <v>0</v>
      </c>
      <c r="W21" s="272">
        <v>0</v>
      </c>
      <c r="X21" s="272">
        <v>3771.4978799999999</v>
      </c>
      <c r="Y21" s="272">
        <v>521.06854999999996</v>
      </c>
      <c r="Z21" s="272">
        <v>-525.44727999999998</v>
      </c>
      <c r="AA21" s="272">
        <v>0</v>
      </c>
      <c r="AB21" s="272">
        <v>3775.8766099999998</v>
      </c>
      <c r="AD21" s="272">
        <v>24926.632980000002</v>
      </c>
      <c r="AE21" s="157">
        <v>13676.157999999999</v>
      </c>
      <c r="AF21" s="184">
        <v>-246.09800000000001</v>
      </c>
      <c r="AG21" s="272">
        <v>-22323.294999999998</v>
      </c>
      <c r="AH21" s="272">
        <v>166.07599999999999</v>
      </c>
      <c r="AI21" s="184">
        <v>826.58</v>
      </c>
      <c r="AJ21" s="272">
        <v>441.75</v>
      </c>
      <c r="AL21" s="272">
        <v>77871.54754</v>
      </c>
      <c r="AM21" s="184">
        <v>640.87300000000005</v>
      </c>
      <c r="AN21" s="272">
        <v>14869.791999999999</v>
      </c>
      <c r="AO21" s="343">
        <v>19311</v>
      </c>
      <c r="AP21" s="332">
        <v>9.4000000000000021</v>
      </c>
      <c r="AQ21" s="448"/>
      <c r="AS21" s="455">
        <v>24090.217980000001</v>
      </c>
      <c r="AT21" s="272">
        <v>65489.067520000004</v>
      </c>
      <c r="AU21" s="450"/>
      <c r="AV21" s="334">
        <v>40610.973979999995</v>
      </c>
      <c r="AW21" s="334">
        <v>6245.3648200000007</v>
      </c>
      <c r="AX21" s="334">
        <v>7726.2871100000002</v>
      </c>
      <c r="AY21" s="334">
        <v>54582.625909999995</v>
      </c>
      <c r="AZ21" s="334">
        <v>-3231.8989999999999</v>
      </c>
      <c r="BA21" s="272">
        <v>445.21686999999997</v>
      </c>
      <c r="BB21" s="333">
        <v>1247.27676</v>
      </c>
      <c r="BC21" s="272">
        <v>2159.0736099999999</v>
      </c>
      <c r="BD21" s="272">
        <v>348.31565999999998</v>
      </c>
      <c r="BE21" s="334">
        <v>11239.94382</v>
      </c>
      <c r="BG21" s="331">
        <v>21108.116399999999</v>
      </c>
      <c r="BH21" s="331">
        <v>0</v>
      </c>
      <c r="BI21" s="331">
        <v>0</v>
      </c>
      <c r="BJ21" s="334">
        <v>-9868.1725800000004</v>
      </c>
      <c r="BK21" s="334">
        <v>1881.3068799999999</v>
      </c>
      <c r="BL21" s="331">
        <v>-1938.9003400000001</v>
      </c>
      <c r="BM21" s="331">
        <v>0</v>
      </c>
      <c r="BN21" s="334">
        <v>-9810.5791199999985</v>
      </c>
      <c r="BP21" s="334">
        <v>15116.054169999999</v>
      </c>
      <c r="BQ21" s="311">
        <v>11416.6828</v>
      </c>
      <c r="BR21" s="272">
        <v>176.73898</v>
      </c>
      <c r="BS21" s="461">
        <v>-10156.350619999999</v>
      </c>
      <c r="BT21" s="272">
        <v>470.22300000000001</v>
      </c>
      <c r="BU21" s="272">
        <v>163.32554999999999</v>
      </c>
      <c r="BV21" s="333">
        <v>675.94464000000005</v>
      </c>
      <c r="BX21" s="272">
        <v>70683.798349999997</v>
      </c>
      <c r="BY21" s="469">
        <v>4945.1048099999998</v>
      </c>
      <c r="BZ21" s="469">
        <v>-7187.7491900000005</v>
      </c>
      <c r="CA21" s="552"/>
      <c r="CB21" s="335">
        <v>9.4</v>
      </c>
      <c r="CC21" s="471">
        <f t="shared" si="0"/>
        <v>9.4</v>
      </c>
      <c r="CD21" s="558"/>
      <c r="CE21" s="272"/>
      <c r="CF21" s="262"/>
      <c r="CI21" s="158">
        <v>0</v>
      </c>
      <c r="CJ21" s="331">
        <v>-1410.9361914263911</v>
      </c>
      <c r="CK21" s="331">
        <v>1640.8454336467671</v>
      </c>
      <c r="CL21" s="331">
        <v>2724.400991736868</v>
      </c>
      <c r="CM21" s="472">
        <v>3790.5920682206474</v>
      </c>
      <c r="CN21" s="472">
        <v>4010.4023828309869</v>
      </c>
      <c r="CO21" s="480">
        <v>-1622.547</v>
      </c>
      <c r="CP21" s="557"/>
      <c r="CQ21" s="474">
        <v>310.12796999999995</v>
      </c>
      <c r="CR21" s="474">
        <v>279.36839000000003</v>
      </c>
    </row>
    <row r="22" spans="1:96" x14ac:dyDescent="0.2">
      <c r="A22" s="154">
        <v>77</v>
      </c>
      <c r="B22" s="156" t="s">
        <v>56</v>
      </c>
      <c r="C22" s="325">
        <v>4549</v>
      </c>
      <c r="D22" s="270">
        <v>9.36</v>
      </c>
      <c r="E22" s="185"/>
      <c r="G22" s="272">
        <v>4215.3008499999996</v>
      </c>
      <c r="H22" s="272">
        <v>16129.203</v>
      </c>
      <c r="I22" s="272"/>
      <c r="J22" s="272">
        <v>7326.1962100000001</v>
      </c>
      <c r="K22" s="272">
        <v>944.44017000000008</v>
      </c>
      <c r="L22" s="272">
        <v>1533.27934</v>
      </c>
      <c r="M22" s="272">
        <v>9803.9157200000009</v>
      </c>
      <c r="N22" s="272">
        <v>5012.9949999999999</v>
      </c>
      <c r="O22" s="272">
        <v>43.27064</v>
      </c>
      <c r="P22" s="272">
        <v>94.595799999999997</v>
      </c>
      <c r="Q22" s="272">
        <v>246.71248</v>
      </c>
      <c r="R22" s="272">
        <v>13.095280000000001</v>
      </c>
      <c r="S22" s="272">
        <v>3085.3006099999998</v>
      </c>
      <c r="U22" s="272">
        <v>1674.33159</v>
      </c>
      <c r="V22" s="272">
        <v>0</v>
      </c>
      <c r="W22" s="272">
        <v>0</v>
      </c>
      <c r="X22" s="272">
        <v>1410.96902</v>
      </c>
      <c r="Y22" s="272">
        <v>0</v>
      </c>
      <c r="Z22" s="272">
        <v>0</v>
      </c>
      <c r="AA22" s="272">
        <v>0</v>
      </c>
      <c r="AB22" s="272">
        <v>1410.96902</v>
      </c>
      <c r="AD22" s="272">
        <v>2412.6596399999999</v>
      </c>
      <c r="AE22" s="157">
        <v>3099.7094300000003</v>
      </c>
      <c r="AF22" s="184">
        <v>14.40882</v>
      </c>
      <c r="AG22" s="272">
        <v>-1118.1005400000001</v>
      </c>
      <c r="AH22" s="272">
        <v>121.4</v>
      </c>
      <c r="AI22" s="184">
        <v>6.75</v>
      </c>
      <c r="AJ22" s="272">
        <v>3578.4446400000002</v>
      </c>
      <c r="AL22" s="272">
        <v>4338.5119999999997</v>
      </c>
      <c r="AM22" s="184">
        <v>-8.8959599999999988</v>
      </c>
      <c r="AN22" s="272">
        <v>-581.49199999999996</v>
      </c>
      <c r="AO22" s="343">
        <v>4509</v>
      </c>
      <c r="AP22" s="332">
        <v>9.4</v>
      </c>
      <c r="AQ22" s="448"/>
      <c r="AS22" s="455">
        <v>4174.8047999999999</v>
      </c>
      <c r="AT22" s="272">
        <v>16224.87529</v>
      </c>
      <c r="AU22" s="450"/>
      <c r="AV22" s="334">
        <v>7489.8914500000001</v>
      </c>
      <c r="AW22" s="334">
        <v>1060.2170100000001</v>
      </c>
      <c r="AX22" s="334">
        <v>1633.19148</v>
      </c>
      <c r="AY22" s="334">
        <v>10183.299939999999</v>
      </c>
      <c r="AZ22" s="334">
        <v>3909.549</v>
      </c>
      <c r="BA22" s="272">
        <v>44.431919999999998</v>
      </c>
      <c r="BB22" s="333">
        <v>94.807419999999993</v>
      </c>
      <c r="BC22" s="272">
        <v>265.45004</v>
      </c>
      <c r="BD22" s="272">
        <v>32.959060000000001</v>
      </c>
      <c r="BE22" s="334">
        <v>2224.8939300000002</v>
      </c>
      <c r="BG22" s="331">
        <v>1611.55411</v>
      </c>
      <c r="BH22" s="331">
        <v>0</v>
      </c>
      <c r="BI22" s="331">
        <v>100.48878999999999</v>
      </c>
      <c r="BJ22" s="334">
        <v>512.85103000000004</v>
      </c>
      <c r="BK22" s="334">
        <v>0</v>
      </c>
      <c r="BL22" s="331">
        <v>0</v>
      </c>
      <c r="BM22" s="331">
        <v>0</v>
      </c>
      <c r="BN22" s="334">
        <v>512.85103000000004</v>
      </c>
      <c r="BP22" s="334">
        <v>2925.5106700000001</v>
      </c>
      <c r="BQ22" s="311">
        <v>2257.79657</v>
      </c>
      <c r="BR22" s="272">
        <v>133.39142999999999</v>
      </c>
      <c r="BS22" s="461">
        <v>-1674.51803</v>
      </c>
      <c r="BT22" s="272">
        <v>12.585000000000001</v>
      </c>
      <c r="BU22" s="272">
        <v>18.541499999999999</v>
      </c>
      <c r="BV22" s="333">
        <v>3327.8480600000003</v>
      </c>
      <c r="BX22" s="272">
        <v>3757.02</v>
      </c>
      <c r="BY22" s="469">
        <v>-0.7</v>
      </c>
      <c r="BZ22" s="469">
        <v>-588.45600000000002</v>
      </c>
      <c r="CA22" s="552"/>
      <c r="CB22" s="335">
        <v>9.4</v>
      </c>
      <c r="CC22" s="471">
        <f t="shared" si="0"/>
        <v>9.4</v>
      </c>
      <c r="CD22" s="558"/>
      <c r="CE22" s="272"/>
      <c r="CF22" s="262"/>
      <c r="CI22" s="158">
        <v>0</v>
      </c>
      <c r="CJ22" s="331">
        <v>4443.3014102209681</v>
      </c>
      <c r="CK22" s="331">
        <v>3930.2835126915361</v>
      </c>
      <c r="CL22" s="331">
        <v>4300.8504548690598</v>
      </c>
      <c r="CM22" s="472">
        <v>4528.316942234439</v>
      </c>
      <c r="CN22" s="472">
        <v>4655.7001504577229</v>
      </c>
      <c r="CO22" s="480">
        <v>352.69600000000003</v>
      </c>
      <c r="CP22" s="557"/>
      <c r="CQ22" s="474">
        <v>0</v>
      </c>
      <c r="CR22" s="474">
        <v>0</v>
      </c>
    </row>
    <row r="23" spans="1:96" x14ac:dyDescent="0.2">
      <c r="A23" s="154">
        <v>78</v>
      </c>
      <c r="B23" s="156" t="s">
        <v>57</v>
      </c>
      <c r="C23" s="325">
        <v>7721</v>
      </c>
      <c r="D23" s="270">
        <v>9.11</v>
      </c>
      <c r="E23" s="185"/>
      <c r="G23" s="272">
        <v>14581.98869</v>
      </c>
      <c r="H23" s="272">
        <v>32940.943299999999</v>
      </c>
      <c r="I23" s="272"/>
      <c r="J23" s="272">
        <v>17925.278350000001</v>
      </c>
      <c r="K23" s="272">
        <v>3710.9230699999998</v>
      </c>
      <c r="L23" s="272">
        <v>3283.5435600000001</v>
      </c>
      <c r="M23" s="272">
        <v>24919.744979999999</v>
      </c>
      <c r="N23" s="272">
        <v>70.194659999999999</v>
      </c>
      <c r="O23" s="272">
        <v>1777.17506</v>
      </c>
      <c r="P23" s="272">
        <v>686.05522999999994</v>
      </c>
      <c r="Q23" s="272">
        <v>110.21042999999999</v>
      </c>
      <c r="R23" s="272">
        <v>9.0492000000000008</v>
      </c>
      <c r="S23" s="272">
        <v>8049.3205499999995</v>
      </c>
      <c r="U23" s="272">
        <v>3130.0679</v>
      </c>
      <c r="V23" s="272">
        <v>0</v>
      </c>
      <c r="W23" s="272">
        <v>0</v>
      </c>
      <c r="X23" s="272">
        <v>4919.2526500000004</v>
      </c>
      <c r="Y23" s="272">
        <v>0</v>
      </c>
      <c r="Z23" s="272">
        <v>0</v>
      </c>
      <c r="AA23" s="272">
        <v>0</v>
      </c>
      <c r="AB23" s="272">
        <v>4919.2526500000004</v>
      </c>
      <c r="AD23" s="272">
        <v>20196.253429999997</v>
      </c>
      <c r="AE23" s="157">
        <v>7312.7496799999999</v>
      </c>
      <c r="AF23" s="184">
        <v>-736.57087000000001</v>
      </c>
      <c r="AG23" s="272">
        <v>-6026.89293</v>
      </c>
      <c r="AH23" s="272">
        <v>342.27249999999998</v>
      </c>
      <c r="AI23" s="184">
        <v>773.25364999999999</v>
      </c>
      <c r="AJ23" s="272">
        <v>702.63175000000001</v>
      </c>
      <c r="AL23" s="272">
        <v>49253.341999999997</v>
      </c>
      <c r="AM23" s="184">
        <v>-458.62594999999999</v>
      </c>
      <c r="AN23" s="272">
        <v>616.66800000000001</v>
      </c>
      <c r="AO23" s="343">
        <v>7702</v>
      </c>
      <c r="AP23" s="332">
        <v>9.1</v>
      </c>
      <c r="AQ23" s="448"/>
      <c r="AS23" s="455">
        <v>15136.6661</v>
      </c>
      <c r="AT23" s="272">
        <v>33078.266640000002</v>
      </c>
      <c r="AU23" s="450"/>
      <c r="AV23" s="334">
        <v>17163.19341</v>
      </c>
      <c r="AW23" s="334">
        <v>2616.2360699999999</v>
      </c>
      <c r="AX23" s="334">
        <v>3178.32789</v>
      </c>
      <c r="AY23" s="334">
        <v>22957.757369999999</v>
      </c>
      <c r="AZ23" s="334">
        <v>-1541.855</v>
      </c>
      <c r="BA23" s="272">
        <v>1800.12256</v>
      </c>
      <c r="BB23" s="333">
        <v>830.08921999999995</v>
      </c>
      <c r="BC23" s="272">
        <v>608.98973999999998</v>
      </c>
      <c r="BD23" s="272">
        <v>7.51694</v>
      </c>
      <c r="BE23" s="334">
        <v>5207.89887</v>
      </c>
      <c r="BG23" s="331">
        <v>3350.9176000000002</v>
      </c>
      <c r="BH23" s="331">
        <v>0</v>
      </c>
      <c r="BI23" s="331">
        <v>0</v>
      </c>
      <c r="BJ23" s="334">
        <v>1856.98127</v>
      </c>
      <c r="BK23" s="334">
        <v>0</v>
      </c>
      <c r="BL23" s="331">
        <v>0</v>
      </c>
      <c r="BM23" s="331">
        <v>0</v>
      </c>
      <c r="BN23" s="334">
        <v>1856.98127</v>
      </c>
      <c r="BP23" s="334">
        <v>32716.359660000002</v>
      </c>
      <c r="BQ23" s="311">
        <v>4308.9889000000003</v>
      </c>
      <c r="BR23" s="272">
        <v>-898.90996999999993</v>
      </c>
      <c r="BS23" s="461">
        <v>-4155.3762400000005</v>
      </c>
      <c r="BT23" s="272">
        <v>95.4452</v>
      </c>
      <c r="BU23" s="272">
        <v>957.00364000000002</v>
      </c>
      <c r="BV23" s="333">
        <v>1284.8489099999999</v>
      </c>
      <c r="BX23" s="272">
        <v>48370</v>
      </c>
      <c r="BY23" s="469">
        <v>-207.78626</v>
      </c>
      <c r="BZ23" s="469">
        <v>-883.34199999999998</v>
      </c>
      <c r="CA23" s="552"/>
      <c r="CB23" s="335">
        <v>9.1</v>
      </c>
      <c r="CC23" s="471">
        <f t="shared" si="0"/>
        <v>9.1</v>
      </c>
      <c r="CD23" s="558"/>
      <c r="CE23" s="272"/>
      <c r="CF23" s="262"/>
      <c r="CG23" s="260"/>
      <c r="CI23" s="158">
        <v>1100</v>
      </c>
      <c r="CJ23" s="331">
        <v>-983.89410850960076</v>
      </c>
      <c r="CK23" s="331">
        <v>-828.37742802133039</v>
      </c>
      <c r="CL23" s="331">
        <v>-1047.6626006846657</v>
      </c>
      <c r="CM23" s="472">
        <v>-958.36924217575802</v>
      </c>
      <c r="CN23" s="472">
        <v>-1021.9526519690057</v>
      </c>
      <c r="CO23" s="480">
        <v>-111.84399999999999</v>
      </c>
      <c r="CP23" s="557"/>
      <c r="CQ23" s="474">
        <v>226.05446000000001</v>
      </c>
      <c r="CR23" s="474">
        <v>162.0909</v>
      </c>
    </row>
    <row r="24" spans="1:96" x14ac:dyDescent="0.2">
      <c r="A24" s="154">
        <v>79</v>
      </c>
      <c r="B24" s="156" t="s">
        <v>58</v>
      </c>
      <c r="C24" s="325">
        <v>6703</v>
      </c>
      <c r="D24" s="270">
        <v>8.86</v>
      </c>
      <c r="E24" s="185"/>
      <c r="G24" s="272">
        <v>6312.2075100000002</v>
      </c>
      <c r="H24" s="272">
        <v>24856.812249999999</v>
      </c>
      <c r="I24" s="272"/>
      <c r="J24" s="272">
        <v>13487.832699999999</v>
      </c>
      <c r="K24" s="272">
        <v>7341.0829599999997</v>
      </c>
      <c r="L24" s="272">
        <v>2611.7577500000002</v>
      </c>
      <c r="M24" s="272">
        <v>23440.673409999999</v>
      </c>
      <c r="N24" s="272">
        <v>-1174.24</v>
      </c>
      <c r="O24" s="272">
        <v>42.740940000000002</v>
      </c>
      <c r="P24" s="272">
        <v>363.89209999999997</v>
      </c>
      <c r="Q24" s="272">
        <v>83.138019999999997</v>
      </c>
      <c r="R24" s="272">
        <v>8.3543099999999999</v>
      </c>
      <c r="S24" s="272">
        <v>3485.7112200000001</v>
      </c>
      <c r="U24" s="272">
        <v>2914.9755</v>
      </c>
      <c r="V24" s="272">
        <v>109.98455</v>
      </c>
      <c r="W24" s="272">
        <v>111.57342</v>
      </c>
      <c r="X24" s="272">
        <v>569.14684999999997</v>
      </c>
      <c r="Y24" s="272">
        <v>0</v>
      </c>
      <c r="Z24" s="272">
        <v>0</v>
      </c>
      <c r="AA24" s="272">
        <v>0</v>
      </c>
      <c r="AB24" s="272">
        <v>569.14684999999997</v>
      </c>
      <c r="AD24" s="272">
        <v>8278.3651699999991</v>
      </c>
      <c r="AE24" s="157">
        <v>3438.9855299999999</v>
      </c>
      <c r="AF24" s="184">
        <v>-45.13682</v>
      </c>
      <c r="AG24" s="272">
        <v>-5216.1098099999999</v>
      </c>
      <c r="AH24" s="272">
        <v>98.429199999999994</v>
      </c>
      <c r="AI24" s="184">
        <v>524.75900000000001</v>
      </c>
      <c r="AJ24" s="272">
        <v>739.29728</v>
      </c>
      <c r="AL24" s="272">
        <v>19142.865729999998</v>
      </c>
      <c r="AM24" s="184">
        <v>3.1955900000000002</v>
      </c>
      <c r="AN24" s="272">
        <v>2285.7082599999999</v>
      </c>
      <c r="AO24" s="343">
        <v>6647</v>
      </c>
      <c r="AP24" s="332">
        <v>8.9</v>
      </c>
      <c r="AQ24" s="448"/>
      <c r="AS24" s="455">
        <v>6334.6236200000003</v>
      </c>
      <c r="AT24" s="272">
        <v>26365.424910000002</v>
      </c>
      <c r="AU24" s="450"/>
      <c r="AV24" s="334">
        <v>12883.440689999999</v>
      </c>
      <c r="AW24" s="334">
        <v>6518.3114999999998</v>
      </c>
      <c r="AX24" s="334">
        <v>3093.1687499999998</v>
      </c>
      <c r="AY24" s="334">
        <v>22494.92094</v>
      </c>
      <c r="AZ24" s="334">
        <v>-1602.914</v>
      </c>
      <c r="BA24" s="272">
        <v>58.310660000000006</v>
      </c>
      <c r="BB24" s="333">
        <v>659.03026</v>
      </c>
      <c r="BC24" s="272">
        <v>40.312359999999998</v>
      </c>
      <c r="BD24" s="272">
        <v>9.0914599999999997</v>
      </c>
      <c r="BE24" s="334">
        <v>319.42195000000004</v>
      </c>
      <c r="BG24" s="331">
        <v>3136.9960000000001</v>
      </c>
      <c r="BH24" s="331">
        <v>12.538080000000001</v>
      </c>
      <c r="BI24" s="334">
        <v>0</v>
      </c>
      <c r="BJ24" s="334">
        <v>-2805.0359700000004</v>
      </c>
      <c r="BK24" s="331">
        <v>0</v>
      </c>
      <c r="BL24" s="334">
        <v>0</v>
      </c>
      <c r="BM24" s="331">
        <v>0</v>
      </c>
      <c r="BN24" s="334">
        <v>-2805.0359700000004</v>
      </c>
      <c r="BP24" s="334">
        <v>5473.3291999999992</v>
      </c>
      <c r="BQ24" s="311">
        <v>1343.78018</v>
      </c>
      <c r="BR24" s="272">
        <v>1011.82015</v>
      </c>
      <c r="BS24" s="461">
        <v>-5801.2412599999998</v>
      </c>
      <c r="BT24" s="272">
        <v>190.37200000000001</v>
      </c>
      <c r="BU24" s="272">
        <v>1208.3789899999999</v>
      </c>
      <c r="BV24" s="333">
        <v>2781.9273800000001</v>
      </c>
      <c r="BX24" s="272">
        <v>24488.104450000003</v>
      </c>
      <c r="BY24" s="469">
        <v>-0.60494000000000003</v>
      </c>
      <c r="BZ24" s="469">
        <v>5345.2387199999994</v>
      </c>
      <c r="CA24" s="552"/>
      <c r="CB24" s="335">
        <v>8.9</v>
      </c>
      <c r="CC24" s="471">
        <f t="shared" si="0"/>
        <v>8.9</v>
      </c>
      <c r="CD24" s="558"/>
      <c r="CE24" s="272"/>
      <c r="CF24" s="262"/>
      <c r="CI24" s="158">
        <v>0</v>
      </c>
      <c r="CJ24" s="331">
        <v>-658.43191102261653</v>
      </c>
      <c r="CK24" s="331">
        <v>-356.38096857453394</v>
      </c>
      <c r="CL24" s="331">
        <v>-195.31196484102151</v>
      </c>
      <c r="CM24" s="472">
        <v>227.07783948000514</v>
      </c>
      <c r="CN24" s="472">
        <v>127.51208128317084</v>
      </c>
      <c r="CO24" s="480">
        <v>-90.224000000000004</v>
      </c>
      <c r="CP24" s="557"/>
      <c r="CQ24" s="474">
        <v>10.25</v>
      </c>
      <c r="CR24" s="474">
        <v>27.715</v>
      </c>
    </row>
    <row r="25" spans="1:96" x14ac:dyDescent="0.2">
      <c r="A25" s="154">
        <v>81</v>
      </c>
      <c r="B25" s="156" t="s">
        <v>59</v>
      </c>
      <c r="C25" s="325">
        <v>2531</v>
      </c>
      <c r="D25" s="270">
        <v>8.86</v>
      </c>
      <c r="E25" s="185"/>
      <c r="G25" s="272">
        <v>1603.5978700000001</v>
      </c>
      <c r="H25" s="272">
        <v>7775.89131</v>
      </c>
      <c r="I25" s="272"/>
      <c r="J25" s="272">
        <v>3808.4624900000003</v>
      </c>
      <c r="K25" s="272">
        <v>1121.9194499999999</v>
      </c>
      <c r="L25" s="272">
        <v>1473.9099699999999</v>
      </c>
      <c r="M25" s="272">
        <v>6404.2919099999999</v>
      </c>
      <c r="N25" s="272">
        <v>696.66399999999999</v>
      </c>
      <c r="O25" s="272">
        <v>19.232560000000003</v>
      </c>
      <c r="P25" s="272">
        <v>218.03793999999999</v>
      </c>
      <c r="Q25" s="272">
        <v>60.512889999999999</v>
      </c>
      <c r="R25" s="272">
        <v>0.37741000000000002</v>
      </c>
      <c r="S25" s="272">
        <v>789.99257</v>
      </c>
      <c r="U25" s="272">
        <v>728.82875999999999</v>
      </c>
      <c r="V25" s="272">
        <v>0</v>
      </c>
      <c r="W25" s="272">
        <v>745.64331000000004</v>
      </c>
      <c r="X25" s="272">
        <v>-684.47950000000003</v>
      </c>
      <c r="Y25" s="272">
        <v>0</v>
      </c>
      <c r="Z25" s="272">
        <v>0</v>
      </c>
      <c r="AA25" s="272">
        <v>0</v>
      </c>
      <c r="AB25" s="272">
        <v>-684.47950000000003</v>
      </c>
      <c r="AD25" s="272">
        <v>1154.6172099999999</v>
      </c>
      <c r="AE25" s="157">
        <v>39.82499</v>
      </c>
      <c r="AF25" s="184">
        <v>-4.5242700000000005</v>
      </c>
      <c r="AG25" s="272">
        <v>-1645.5313899999999</v>
      </c>
      <c r="AH25" s="272">
        <v>3.7319999999999999E-2</v>
      </c>
      <c r="AI25" s="184">
        <v>738.06524000000002</v>
      </c>
      <c r="AJ25" s="272">
        <v>165.45535999999998</v>
      </c>
      <c r="AL25" s="272">
        <v>10529.801039999998</v>
      </c>
      <c r="AM25" s="184">
        <v>0</v>
      </c>
      <c r="AN25" s="272">
        <v>-324.01996000000003</v>
      </c>
      <c r="AO25" s="343">
        <v>2482</v>
      </c>
      <c r="AP25" s="332">
        <v>8.9</v>
      </c>
      <c r="AQ25" s="448"/>
      <c r="AS25" s="455">
        <v>2165.0109400000001</v>
      </c>
      <c r="AT25" s="272">
        <v>7624.4278600000007</v>
      </c>
      <c r="AU25" s="450"/>
      <c r="AV25" s="334">
        <v>3930.3701099999998</v>
      </c>
      <c r="AW25" s="334">
        <v>1185.49881</v>
      </c>
      <c r="AX25" s="334">
        <v>1619.44748</v>
      </c>
      <c r="AY25" s="334">
        <v>6735.3164000000006</v>
      </c>
      <c r="AZ25" s="334">
        <v>322.33100000000002</v>
      </c>
      <c r="BA25" s="272">
        <v>29.456169999999997</v>
      </c>
      <c r="BB25" s="333">
        <v>316.43331999999998</v>
      </c>
      <c r="BC25" s="272">
        <v>69.276560000000003</v>
      </c>
      <c r="BD25" s="272">
        <v>4.0104699999999998</v>
      </c>
      <c r="BE25" s="334">
        <v>1376.5194199999999</v>
      </c>
      <c r="BG25" s="331">
        <v>752.75288999999998</v>
      </c>
      <c r="BH25" s="331">
        <v>0</v>
      </c>
      <c r="BI25" s="331">
        <v>0</v>
      </c>
      <c r="BJ25" s="334">
        <v>623.76652999999999</v>
      </c>
      <c r="BK25" s="331">
        <v>0</v>
      </c>
      <c r="BL25" s="331">
        <v>0</v>
      </c>
      <c r="BM25" s="331">
        <v>0</v>
      </c>
      <c r="BN25" s="334">
        <v>623.76652999999999</v>
      </c>
      <c r="BP25" s="334">
        <v>1778.38374</v>
      </c>
      <c r="BQ25" s="311">
        <v>1372.2866399999998</v>
      </c>
      <c r="BR25" s="272">
        <v>-4.23278</v>
      </c>
      <c r="BS25" s="461">
        <v>-1134.9535800000001</v>
      </c>
      <c r="BT25" s="272">
        <v>120.84346000000001</v>
      </c>
      <c r="BU25" s="272">
        <v>14.95</v>
      </c>
      <c r="BV25" s="333">
        <v>1148.69902</v>
      </c>
      <c r="BX25" s="272">
        <v>11296.229300000001</v>
      </c>
      <c r="BY25" s="469">
        <v>35.686080000000004</v>
      </c>
      <c r="BZ25" s="469">
        <v>766.42826000000002</v>
      </c>
      <c r="CA25" s="552"/>
      <c r="CB25" s="335">
        <v>9.1999999999999993</v>
      </c>
      <c r="CC25" s="471">
        <f t="shared" si="0"/>
        <v>9.1999999999999993</v>
      </c>
      <c r="CD25" s="558"/>
      <c r="CE25" s="272"/>
      <c r="CF25" s="262"/>
      <c r="CG25" s="260"/>
      <c r="CI25" s="158">
        <v>450</v>
      </c>
      <c r="CJ25" s="331">
        <v>307.94182568787198</v>
      </c>
      <c r="CK25" s="331">
        <v>94.657993651265429</v>
      </c>
      <c r="CL25" s="331">
        <v>-220.98879983615427</v>
      </c>
      <c r="CM25" s="472">
        <v>-42.621947862401953</v>
      </c>
      <c r="CN25" s="472">
        <v>-34.053969331313169</v>
      </c>
      <c r="CO25" s="480">
        <v>-723.32100000000003</v>
      </c>
      <c r="CP25" s="557"/>
      <c r="CQ25" s="474">
        <v>0</v>
      </c>
      <c r="CR25" s="474">
        <v>0</v>
      </c>
    </row>
    <row r="26" spans="1:96" x14ac:dyDescent="0.2">
      <c r="A26" s="154">
        <v>82</v>
      </c>
      <c r="B26" s="156" t="s">
        <v>60</v>
      </c>
      <c r="C26" s="325">
        <v>9371</v>
      </c>
      <c r="D26" s="270">
        <v>8.11</v>
      </c>
      <c r="E26" s="185"/>
      <c r="G26" s="272">
        <v>4057.4534100000001</v>
      </c>
      <c r="H26" s="272">
        <v>27941.55946</v>
      </c>
      <c r="I26" s="272"/>
      <c r="J26" s="272">
        <v>18771.23818</v>
      </c>
      <c r="K26" s="272">
        <v>2650.3549400000002</v>
      </c>
      <c r="L26" s="272">
        <v>2845.38004</v>
      </c>
      <c r="M26" s="272">
        <v>24266.973160000001</v>
      </c>
      <c r="N26" s="272">
        <v>5532.6469999999999</v>
      </c>
      <c r="O26" s="272">
        <v>187.86708999999999</v>
      </c>
      <c r="P26" s="272">
        <v>927.49871999999993</v>
      </c>
      <c r="Q26" s="272">
        <v>205.62290999999999</v>
      </c>
      <c r="R26" s="272">
        <v>89.295990000000003</v>
      </c>
      <c r="S26" s="272">
        <v>5292.2094000000006</v>
      </c>
      <c r="U26" s="272">
        <v>2168.77387</v>
      </c>
      <c r="V26" s="272">
        <v>0</v>
      </c>
      <c r="W26" s="272">
        <v>0</v>
      </c>
      <c r="X26" s="272">
        <v>3123.4355299999997</v>
      </c>
      <c r="Y26" s="272">
        <v>0</v>
      </c>
      <c r="Z26" s="272">
        <v>0</v>
      </c>
      <c r="AA26" s="272">
        <v>0</v>
      </c>
      <c r="AB26" s="272">
        <v>3123.4355299999997</v>
      </c>
      <c r="AD26" s="272">
        <v>11078.87149</v>
      </c>
      <c r="AE26" s="157">
        <v>5237.4227300000002</v>
      </c>
      <c r="AF26" s="184">
        <v>-54.786670000000001</v>
      </c>
      <c r="AG26" s="272">
        <v>-641.69493999999997</v>
      </c>
      <c r="AH26" s="272">
        <v>55.9</v>
      </c>
      <c r="AI26" s="184">
        <v>191.8348</v>
      </c>
      <c r="AJ26" s="272">
        <v>1833.5548700000002</v>
      </c>
      <c r="AL26" s="272">
        <v>29356.66332</v>
      </c>
      <c r="AM26" s="184">
        <v>0</v>
      </c>
      <c r="AN26" s="272">
        <v>-3259.4201200000002</v>
      </c>
      <c r="AO26" s="343">
        <v>9361</v>
      </c>
      <c r="AP26" s="332">
        <v>8.1</v>
      </c>
      <c r="AQ26" s="448"/>
      <c r="AS26" s="455">
        <v>3720.1525499999998</v>
      </c>
      <c r="AT26" s="272">
        <v>27590.569199999998</v>
      </c>
      <c r="AU26" s="450"/>
      <c r="AV26" s="334">
        <v>18211.055100000001</v>
      </c>
      <c r="AW26" s="334">
        <v>2546.3678999999997</v>
      </c>
      <c r="AX26" s="334">
        <v>3191.8020000000001</v>
      </c>
      <c r="AY26" s="334">
        <v>23949.224999999999</v>
      </c>
      <c r="AZ26" s="334">
        <v>3906.9760000000001</v>
      </c>
      <c r="BA26" s="272">
        <v>191.87563</v>
      </c>
      <c r="BB26" s="333">
        <v>894.05095999999992</v>
      </c>
      <c r="BC26" s="272">
        <v>117.66938999999999</v>
      </c>
      <c r="BD26" s="272">
        <v>4.6028400000000005</v>
      </c>
      <c r="BE26" s="334">
        <v>3396.6755699999999</v>
      </c>
      <c r="BG26" s="331">
        <v>1966.2631999999999</v>
      </c>
      <c r="BH26" s="331">
        <v>0</v>
      </c>
      <c r="BI26" s="331">
        <v>0</v>
      </c>
      <c r="BJ26" s="334">
        <v>1430.41237</v>
      </c>
      <c r="BK26" s="331">
        <v>0</v>
      </c>
      <c r="BL26" s="331">
        <v>0</v>
      </c>
      <c r="BM26" s="331">
        <v>0</v>
      </c>
      <c r="BN26" s="334">
        <v>1430.41237</v>
      </c>
      <c r="BP26" s="334">
        <v>12509.28386</v>
      </c>
      <c r="BQ26" s="311">
        <v>3186.7616200000002</v>
      </c>
      <c r="BR26" s="272">
        <v>-209.91395</v>
      </c>
      <c r="BS26" s="461">
        <v>-1821.1902299999999</v>
      </c>
      <c r="BT26" s="272">
        <v>80</v>
      </c>
      <c r="BU26" s="272">
        <v>276.54187999999999</v>
      </c>
      <c r="BV26" s="333">
        <v>2940.5908799999997</v>
      </c>
      <c r="BX26" s="272">
        <v>28716.663980000001</v>
      </c>
      <c r="BY26" s="469">
        <v>0</v>
      </c>
      <c r="BZ26" s="469">
        <v>-639.99933999999996</v>
      </c>
      <c r="CA26" s="552"/>
      <c r="CB26" s="335">
        <v>8.4</v>
      </c>
      <c r="CC26" s="471">
        <f t="shared" si="0"/>
        <v>8.4</v>
      </c>
      <c r="CD26" s="558"/>
      <c r="CE26" s="272"/>
      <c r="CF26" s="262"/>
      <c r="CI26" s="158">
        <v>0</v>
      </c>
      <c r="CJ26" s="331">
        <v>2621.9454371499542</v>
      </c>
      <c r="CK26" s="331">
        <v>2740.4041151567644</v>
      </c>
      <c r="CL26" s="331">
        <v>3365.0298347102243</v>
      </c>
      <c r="CM26" s="472">
        <v>3715.5210071691554</v>
      </c>
      <c r="CN26" s="472">
        <v>3542.5762629644723</v>
      </c>
      <c r="CO26" s="480">
        <v>-2034.14</v>
      </c>
      <c r="CP26" s="557"/>
      <c r="CQ26" s="474">
        <v>0</v>
      </c>
      <c r="CR26" s="474">
        <v>0</v>
      </c>
    </row>
    <row r="27" spans="1:96" x14ac:dyDescent="0.2">
      <c r="A27" s="154">
        <v>86</v>
      </c>
      <c r="B27" s="156" t="s">
        <v>61</v>
      </c>
      <c r="C27" s="325">
        <v>7998</v>
      </c>
      <c r="D27" s="270">
        <v>8.86</v>
      </c>
      <c r="E27" s="185"/>
      <c r="G27" s="272">
        <v>5335.2179699999997</v>
      </c>
      <c r="H27" s="272">
        <v>25548.68057</v>
      </c>
      <c r="I27" s="272"/>
      <c r="J27" s="272">
        <v>16142.992</v>
      </c>
      <c r="K27" s="272">
        <v>1156.953</v>
      </c>
      <c r="L27" s="272">
        <v>1781.6279999999999</v>
      </c>
      <c r="M27" s="272">
        <v>19081.573</v>
      </c>
      <c r="N27" s="272">
        <v>6254.0709999999999</v>
      </c>
      <c r="O27" s="272">
        <v>3.3694099999999998</v>
      </c>
      <c r="P27" s="272">
        <v>417.47456</v>
      </c>
      <c r="Q27" s="272">
        <v>26.042939999999998</v>
      </c>
      <c r="R27" s="272">
        <v>5.2243300000000001</v>
      </c>
      <c r="S27" s="272">
        <v>4731.0281100000002</v>
      </c>
      <c r="U27" s="272">
        <v>3588.7305499999998</v>
      </c>
      <c r="V27" s="272">
        <v>0</v>
      </c>
      <c r="W27" s="272">
        <v>556.81011000000001</v>
      </c>
      <c r="X27" s="272">
        <v>585.48744999999997</v>
      </c>
      <c r="Y27" s="272">
        <v>0</v>
      </c>
      <c r="Z27" s="272">
        <v>0</v>
      </c>
      <c r="AA27" s="272">
        <v>0</v>
      </c>
      <c r="AB27" s="272">
        <v>585.48744999999997</v>
      </c>
      <c r="AD27" s="272">
        <v>11025.448350000001</v>
      </c>
      <c r="AE27" s="157">
        <v>4639.6498000000001</v>
      </c>
      <c r="AF27" s="184">
        <v>465.43180000000001</v>
      </c>
      <c r="AG27" s="272">
        <v>-5802.5866999999998</v>
      </c>
      <c r="AH27" s="272">
        <v>8.655899999999999</v>
      </c>
      <c r="AI27" s="184">
        <v>1103.2464</v>
      </c>
      <c r="AJ27" s="272">
        <v>3841.0974999999999</v>
      </c>
      <c r="AL27" s="272">
        <v>25946.890570000003</v>
      </c>
      <c r="AM27" s="184">
        <v>13.6</v>
      </c>
      <c r="AN27" s="272">
        <v>2055.1768000000002</v>
      </c>
      <c r="AO27" s="343">
        <v>7901</v>
      </c>
      <c r="AP27" s="332">
        <v>8.9</v>
      </c>
      <c r="AQ27" s="448"/>
      <c r="AS27" s="455">
        <v>6348.3711600000006</v>
      </c>
      <c r="AT27" s="272">
        <v>25287.964929999998</v>
      </c>
      <c r="AU27" s="450"/>
      <c r="AV27" s="334">
        <v>15976.493400000001</v>
      </c>
      <c r="AW27" s="334">
        <v>1016.4122600000001</v>
      </c>
      <c r="AX27" s="334">
        <v>1866.6791799999999</v>
      </c>
      <c r="AY27" s="334">
        <v>18859.58484</v>
      </c>
      <c r="AZ27" s="334">
        <v>4348.0569999999998</v>
      </c>
      <c r="BA27" s="272">
        <v>1.5046700000000002</v>
      </c>
      <c r="BB27" s="333">
        <v>778.93800999999996</v>
      </c>
      <c r="BC27" s="272">
        <v>40.086940000000006</v>
      </c>
      <c r="BD27" s="272">
        <v>3.03444</v>
      </c>
      <c r="BE27" s="334">
        <v>3527.66723</v>
      </c>
      <c r="BG27" s="331">
        <v>2787.5704100000003</v>
      </c>
      <c r="BH27" s="331">
        <v>1301.5999999999999</v>
      </c>
      <c r="BI27" s="331">
        <v>0</v>
      </c>
      <c r="BJ27" s="334">
        <v>2041.6968200000001</v>
      </c>
      <c r="BK27" s="331">
        <v>0</v>
      </c>
      <c r="BL27" s="331">
        <v>0</v>
      </c>
      <c r="BM27" s="331">
        <v>0</v>
      </c>
      <c r="BN27" s="334">
        <v>2041.6968200000001</v>
      </c>
      <c r="BP27" s="334">
        <v>13067.14517</v>
      </c>
      <c r="BQ27" s="311">
        <v>4639.8580000000002</v>
      </c>
      <c r="BR27" s="272">
        <v>-189.40899999999999</v>
      </c>
      <c r="BS27" s="461">
        <v>-5890.9199200000003</v>
      </c>
      <c r="BT27" s="272">
        <v>0</v>
      </c>
      <c r="BU27" s="272">
        <v>197.54164</v>
      </c>
      <c r="BV27" s="333">
        <v>3079.5172900000002</v>
      </c>
      <c r="BX27" s="272">
        <v>26502.067329999998</v>
      </c>
      <c r="BY27" s="469">
        <v>-4.05</v>
      </c>
      <c r="BZ27" s="469">
        <v>555.17700000000002</v>
      </c>
      <c r="CA27" s="552"/>
      <c r="CB27" s="335">
        <v>9.3000000000000007</v>
      </c>
      <c r="CC27" s="471">
        <f t="shared" si="0"/>
        <v>9.3000000000000007</v>
      </c>
      <c r="CD27" s="558"/>
      <c r="CE27" s="272"/>
      <c r="CF27" s="262"/>
      <c r="CI27" s="158">
        <v>0</v>
      </c>
      <c r="CJ27" s="331">
        <v>4835.8519742971657</v>
      </c>
      <c r="CK27" s="331">
        <v>4417.3617141297818</v>
      </c>
      <c r="CL27" s="331">
        <v>4598.6160139909771</v>
      </c>
      <c r="CM27" s="472">
        <v>4858.3303001166696</v>
      </c>
      <c r="CN27" s="472">
        <v>4910.6764760601363</v>
      </c>
      <c r="CO27" s="480">
        <v>-1124.94</v>
      </c>
      <c r="CP27" s="557"/>
      <c r="CQ27" s="474">
        <v>2.1332499999999999</v>
      </c>
      <c r="CR27" s="474">
        <v>0</v>
      </c>
    </row>
    <row r="28" spans="1:96" x14ac:dyDescent="0.2">
      <c r="A28" s="154">
        <v>111</v>
      </c>
      <c r="B28" s="262" t="s">
        <v>62</v>
      </c>
      <c r="C28" s="325">
        <v>17953</v>
      </c>
      <c r="D28" s="270">
        <v>7.86</v>
      </c>
      <c r="E28" s="185"/>
      <c r="G28" s="272">
        <v>14236.606970000001</v>
      </c>
      <c r="H28" s="272">
        <v>57150.608829999997</v>
      </c>
      <c r="I28" s="272"/>
      <c r="J28" s="272">
        <v>30783.26728</v>
      </c>
      <c r="K28" s="272">
        <v>3379.1790299999998</v>
      </c>
      <c r="L28" s="272">
        <v>6698.3941699999996</v>
      </c>
      <c r="M28" s="272">
        <v>40860.840479999999</v>
      </c>
      <c r="N28" s="272">
        <v>11921.143</v>
      </c>
      <c r="O28" s="272">
        <v>304.21933000000001</v>
      </c>
      <c r="P28" s="272">
        <v>1760.9554800000001</v>
      </c>
      <c r="Q28" s="272">
        <v>7760.4870700000001</v>
      </c>
      <c r="R28" s="272">
        <v>3090.0286700000001</v>
      </c>
      <c r="S28" s="272">
        <v>14302.610119999999</v>
      </c>
      <c r="U28" s="272">
        <v>10499.01643</v>
      </c>
      <c r="V28" s="272">
        <v>0</v>
      </c>
      <c r="W28" s="272">
        <v>0</v>
      </c>
      <c r="X28" s="272">
        <v>3803.5936900000002</v>
      </c>
      <c r="Y28" s="272">
        <v>-489.33625000000001</v>
      </c>
      <c r="Z28" s="272">
        <v>4000</v>
      </c>
      <c r="AA28" s="272">
        <v>11.54002</v>
      </c>
      <c r="AB28" s="272">
        <v>281.38991999999996</v>
      </c>
      <c r="AD28" s="272">
        <v>34634.083270000003</v>
      </c>
      <c r="AE28" s="157">
        <v>13345.913259999999</v>
      </c>
      <c r="AF28" s="184">
        <v>-956.69686000000002</v>
      </c>
      <c r="AG28" s="272">
        <v>-13135.3429</v>
      </c>
      <c r="AH28" s="272">
        <v>343.43628000000001</v>
      </c>
      <c r="AI28" s="184">
        <v>5988.4694</v>
      </c>
      <c r="AJ28" s="272">
        <v>105913.58895</v>
      </c>
      <c r="AL28" s="272">
        <v>113053</v>
      </c>
      <c r="AM28" s="184">
        <v>65.901809999999998</v>
      </c>
      <c r="AN28" s="272">
        <v>-4981.70741</v>
      </c>
      <c r="AO28" s="343">
        <v>17829</v>
      </c>
      <c r="AP28" s="332">
        <v>8.1999999999999993</v>
      </c>
      <c r="AQ28" s="448"/>
      <c r="AS28" s="455">
        <v>14683.94159</v>
      </c>
      <c r="AT28" s="272">
        <v>57225.38031</v>
      </c>
      <c r="AU28" s="450"/>
      <c r="AV28" s="334">
        <v>30081.802879999999</v>
      </c>
      <c r="AW28" s="334">
        <v>4263.6325999999999</v>
      </c>
      <c r="AX28" s="334">
        <v>8178.7212800000007</v>
      </c>
      <c r="AY28" s="334">
        <v>42524.156759999998</v>
      </c>
      <c r="AZ28" s="334">
        <v>9247.19</v>
      </c>
      <c r="BA28" s="272">
        <v>225.44745999999998</v>
      </c>
      <c r="BB28" s="333">
        <v>2254.24314</v>
      </c>
      <c r="BC28" s="272">
        <v>8904.9870600000013</v>
      </c>
      <c r="BD28" s="272">
        <v>992.50638000000004</v>
      </c>
      <c r="BE28" s="334">
        <v>16916.515190000002</v>
      </c>
      <c r="BG28" s="331">
        <v>9416.6676700000007</v>
      </c>
      <c r="BH28" s="331">
        <v>0</v>
      </c>
      <c r="BI28" s="331">
        <v>0</v>
      </c>
      <c r="BJ28" s="334">
        <v>7499.8475199999993</v>
      </c>
      <c r="BK28" s="334">
        <v>-474.24915999999996</v>
      </c>
      <c r="BL28" s="334">
        <v>5600</v>
      </c>
      <c r="BM28" s="331">
        <v>0</v>
      </c>
      <c r="BN28" s="334">
        <v>2374.0966800000001</v>
      </c>
      <c r="BP28" s="334">
        <v>37008.179950000005</v>
      </c>
      <c r="BQ28" s="311">
        <v>16143.431460000002</v>
      </c>
      <c r="BR28" s="272">
        <v>-773.08372999999995</v>
      </c>
      <c r="BS28" s="461">
        <v>-6596.4832400000005</v>
      </c>
      <c r="BT28" s="272">
        <v>9</v>
      </c>
      <c r="BU28" s="272">
        <v>1373.4513400000001</v>
      </c>
      <c r="BV28" s="333">
        <v>114185.83137999999</v>
      </c>
      <c r="BX28" s="272">
        <v>107651.4157</v>
      </c>
      <c r="BY28" s="469">
        <v>36.150460000000002</v>
      </c>
      <c r="BZ28" s="469">
        <v>-5401.5842999999995</v>
      </c>
      <c r="CA28" s="552"/>
      <c r="CB28" s="335">
        <v>8.1999999999999993</v>
      </c>
      <c r="CC28" s="471">
        <f t="shared" si="0"/>
        <v>8.1999999999999993</v>
      </c>
      <c r="CD28" s="558"/>
      <c r="CE28" s="272"/>
      <c r="CF28" s="262"/>
      <c r="CG28" s="260"/>
      <c r="CI28" s="158">
        <v>0</v>
      </c>
      <c r="CJ28" s="331">
        <v>10381.063606544556</v>
      </c>
      <c r="CK28" s="331">
        <v>8563.2467134319595</v>
      </c>
      <c r="CL28" s="331">
        <v>8862.1113553292344</v>
      </c>
      <c r="CM28" s="472">
        <v>9807.8285283111818</v>
      </c>
      <c r="CN28" s="472">
        <v>10084.563740320973</v>
      </c>
      <c r="CO28" s="480">
        <v>-2282.5059999999999</v>
      </c>
      <c r="CP28" s="557"/>
      <c r="CQ28" s="474">
        <v>1220.90625</v>
      </c>
      <c r="CR28" s="474">
        <v>1802.9221499999999</v>
      </c>
    </row>
    <row r="29" spans="1:96" x14ac:dyDescent="0.2">
      <c r="A29" s="154">
        <v>90</v>
      </c>
      <c r="B29" s="156" t="s">
        <v>63</v>
      </c>
      <c r="C29" s="325">
        <v>3001</v>
      </c>
      <c r="D29" s="270">
        <v>8.86</v>
      </c>
      <c r="E29" s="185"/>
      <c r="G29" s="272">
        <v>4646.1567599999998</v>
      </c>
      <c r="H29" s="272">
        <v>11495.24806</v>
      </c>
      <c r="I29" s="272"/>
      <c r="J29" s="272">
        <v>4465.6764400000002</v>
      </c>
      <c r="K29" s="272">
        <v>1796.9085600000001</v>
      </c>
      <c r="L29" s="272">
        <v>1469.4405300000001</v>
      </c>
      <c r="M29" s="272">
        <v>7732.0255299999999</v>
      </c>
      <c r="N29" s="272">
        <v>653.779</v>
      </c>
      <c r="O29" s="272">
        <v>70.272809999999993</v>
      </c>
      <c r="P29" s="272">
        <v>32.21481</v>
      </c>
      <c r="Q29" s="272">
        <v>318.49862000000002</v>
      </c>
      <c r="R29" s="272">
        <v>2.2792500000000002</v>
      </c>
      <c r="S29" s="272">
        <v>1890.9906000000001</v>
      </c>
      <c r="U29" s="272">
        <v>1333.49767</v>
      </c>
      <c r="V29" s="272">
        <v>0</v>
      </c>
      <c r="W29" s="272">
        <v>0</v>
      </c>
      <c r="X29" s="272">
        <v>557.49293</v>
      </c>
      <c r="Y29" s="272">
        <v>-75</v>
      </c>
      <c r="Z29" s="272">
        <v>0</v>
      </c>
      <c r="AA29" s="272">
        <v>0</v>
      </c>
      <c r="AB29" s="272">
        <v>632.49293</v>
      </c>
      <c r="AD29" s="272">
        <v>5673.3823700000012</v>
      </c>
      <c r="AE29" s="157">
        <v>1771.3377700000001</v>
      </c>
      <c r="AF29" s="184">
        <v>-119.65283000000001</v>
      </c>
      <c r="AG29" s="272">
        <v>-993.84573</v>
      </c>
      <c r="AH29" s="272">
        <v>145</v>
      </c>
      <c r="AI29" s="184">
        <v>112.84953</v>
      </c>
      <c r="AJ29" s="272">
        <v>3380.9147799999996</v>
      </c>
      <c r="AL29" s="272">
        <v>8909.35</v>
      </c>
      <c r="AM29" s="184">
        <v>3.68</v>
      </c>
      <c r="AN29" s="272">
        <v>-21.544</v>
      </c>
      <c r="AO29" s="343">
        <v>2929</v>
      </c>
      <c r="AP29" s="332">
        <v>8.8000000000000007</v>
      </c>
      <c r="AQ29" s="448"/>
      <c r="AS29" s="455">
        <v>4768.8979300000001</v>
      </c>
      <c r="AT29" s="272">
        <v>11534.721710000002</v>
      </c>
      <c r="AU29" s="450"/>
      <c r="AV29" s="334">
        <v>4539.4328599999999</v>
      </c>
      <c r="AW29" s="334">
        <v>1460.21747</v>
      </c>
      <c r="AX29" s="334">
        <v>1531.7881599999998</v>
      </c>
      <c r="AY29" s="334">
        <v>7531.4384900000005</v>
      </c>
      <c r="AZ29" s="334">
        <v>91.94</v>
      </c>
      <c r="BA29" s="272">
        <v>89.893270000000001</v>
      </c>
      <c r="BB29" s="333">
        <v>63.386060000000001</v>
      </c>
      <c r="BC29" s="272">
        <v>322.17142000000001</v>
      </c>
      <c r="BD29" s="272">
        <v>9.8046399999999991</v>
      </c>
      <c r="BE29" s="334">
        <v>1196.4286999999999</v>
      </c>
      <c r="BG29" s="331">
        <v>1392.93508</v>
      </c>
      <c r="BH29" s="331">
        <v>0</v>
      </c>
      <c r="BI29" s="331">
        <v>0</v>
      </c>
      <c r="BJ29" s="334">
        <v>-196.50638000000001</v>
      </c>
      <c r="BK29" s="334">
        <v>-75</v>
      </c>
      <c r="BL29" s="331">
        <v>0</v>
      </c>
      <c r="BM29" s="331">
        <v>0</v>
      </c>
      <c r="BN29" s="334">
        <v>-121.50638000000001</v>
      </c>
      <c r="BP29" s="334">
        <v>5551.8759900000005</v>
      </c>
      <c r="BQ29" s="311">
        <v>473.15003000000002</v>
      </c>
      <c r="BR29" s="272">
        <v>-723.27867000000003</v>
      </c>
      <c r="BS29" s="461">
        <v>-846.38056000000006</v>
      </c>
      <c r="BT29" s="272">
        <v>44.1</v>
      </c>
      <c r="BU29" s="272">
        <v>144.255</v>
      </c>
      <c r="BV29" s="333">
        <v>4054.2608599999999</v>
      </c>
      <c r="BX29" s="272">
        <v>9785.6412200000013</v>
      </c>
      <c r="BY29" s="469">
        <v>0</v>
      </c>
      <c r="BZ29" s="469">
        <v>876.29121999999995</v>
      </c>
      <c r="CA29" s="552"/>
      <c r="CB29" s="335">
        <v>8.8000000000000007</v>
      </c>
      <c r="CC29" s="471">
        <f t="shared" si="0"/>
        <v>8.8000000000000007</v>
      </c>
      <c r="CD29" s="558"/>
      <c r="CE29" s="272"/>
      <c r="CF29" s="262"/>
      <c r="CI29" s="158">
        <v>0</v>
      </c>
      <c r="CJ29" s="331">
        <v>819.78827660005572</v>
      </c>
      <c r="CK29" s="331">
        <v>740.43444236374353</v>
      </c>
      <c r="CL29" s="331">
        <v>716.87725815148951</v>
      </c>
      <c r="CM29" s="472">
        <v>940.18708265309169</v>
      </c>
      <c r="CN29" s="472">
        <v>993.96870584831095</v>
      </c>
      <c r="CO29" s="480">
        <v>-377.625</v>
      </c>
      <c r="CP29" s="557"/>
      <c r="CQ29" s="474">
        <v>0</v>
      </c>
      <c r="CR29" s="474">
        <v>0</v>
      </c>
    </row>
    <row r="30" spans="1:96" x14ac:dyDescent="0.2">
      <c r="A30" s="154">
        <v>91</v>
      </c>
      <c r="B30" s="156" t="s">
        <v>64</v>
      </c>
      <c r="C30" s="325">
        <v>674500</v>
      </c>
      <c r="D30" s="270">
        <v>5.36</v>
      </c>
      <c r="E30" s="185"/>
      <c r="G30" s="272">
        <v>1184787.9557</v>
      </c>
      <c r="H30" s="272">
        <v>2894434.6320500001</v>
      </c>
      <c r="I30" s="272"/>
      <c r="J30" s="272">
        <v>1191880.6545299999</v>
      </c>
      <c r="K30" s="272">
        <v>539208.23645000008</v>
      </c>
      <c r="L30" s="272">
        <v>307241.29567999998</v>
      </c>
      <c r="M30" s="272">
        <v>2038330.1866600001</v>
      </c>
      <c r="N30" s="272">
        <v>200210.427</v>
      </c>
      <c r="O30" s="272">
        <v>115630.75631999999</v>
      </c>
      <c r="P30" s="272">
        <v>36565.36075</v>
      </c>
      <c r="Q30" s="272">
        <v>82684.970159999997</v>
      </c>
      <c r="R30" s="272">
        <v>386.75428000000005</v>
      </c>
      <c r="S30" s="272">
        <v>814594.37778999994</v>
      </c>
      <c r="U30" s="272">
        <v>364862.70677999995</v>
      </c>
      <c r="V30" s="272">
        <v>0</v>
      </c>
      <c r="W30" s="272">
        <v>12983.223189999999</v>
      </c>
      <c r="X30" s="272">
        <v>436748.44782</v>
      </c>
      <c r="Y30" s="272">
        <v>413.99478999999997</v>
      </c>
      <c r="Z30" s="272">
        <v>-3579.9340999999999</v>
      </c>
      <c r="AA30" s="272">
        <v>1695.0572</v>
      </c>
      <c r="AB30" s="272">
        <v>438219.32993000001</v>
      </c>
      <c r="AD30" s="272">
        <v>7704176.7746199993</v>
      </c>
      <c r="AE30" s="157">
        <v>783347.43741999997</v>
      </c>
      <c r="AF30" s="184">
        <v>-18263.71718</v>
      </c>
      <c r="AG30" s="272">
        <v>-849176.11884000001</v>
      </c>
      <c r="AH30" s="272">
        <v>23433.963649999998</v>
      </c>
      <c r="AI30" s="184">
        <v>65573.753429999997</v>
      </c>
      <c r="AJ30" s="272">
        <v>1138526.38491</v>
      </c>
      <c r="AL30" s="272">
        <v>1059756.4996100001</v>
      </c>
      <c r="AM30" s="184">
        <v>55155.199430000001</v>
      </c>
      <c r="AN30" s="272">
        <v>-105039.80821999999</v>
      </c>
      <c r="AO30" s="343">
        <v>684018</v>
      </c>
      <c r="AP30" s="332">
        <v>5.3</v>
      </c>
      <c r="AQ30" s="448"/>
      <c r="AS30" s="455">
        <v>1268068.0006400002</v>
      </c>
      <c r="AT30" s="272">
        <v>2974593.4040600001</v>
      </c>
      <c r="AU30" s="450"/>
      <c r="AV30" s="334">
        <v>1068865.36115</v>
      </c>
      <c r="AW30" s="334">
        <v>446470.73087000003</v>
      </c>
      <c r="AX30" s="334">
        <v>353479.04772000003</v>
      </c>
      <c r="AY30" s="334">
        <v>1868815.13974</v>
      </c>
      <c r="AZ30" s="334">
        <v>302250.58199999999</v>
      </c>
      <c r="BA30" s="272">
        <v>112547.23381999999</v>
      </c>
      <c r="BB30" s="333">
        <v>37705.230899999995</v>
      </c>
      <c r="BC30" s="272">
        <v>60383.850659999996</v>
      </c>
      <c r="BD30" s="272">
        <v>382.70411999999999</v>
      </c>
      <c r="BE30" s="334">
        <v>715596.41602999996</v>
      </c>
      <c r="BG30" s="331">
        <v>379586.06585000001</v>
      </c>
      <c r="BH30" s="334">
        <v>0</v>
      </c>
      <c r="BI30" s="334">
        <v>0</v>
      </c>
      <c r="BJ30" s="334">
        <v>336010.35018000001</v>
      </c>
      <c r="BK30" s="334">
        <v>-3158.6052300000001</v>
      </c>
      <c r="BL30" s="334">
        <v>0</v>
      </c>
      <c r="BM30" s="334">
        <v>5492.0051399999993</v>
      </c>
      <c r="BN30" s="334">
        <v>333676.95026999997</v>
      </c>
      <c r="BP30" s="334">
        <v>8037853.7248899993</v>
      </c>
      <c r="BQ30" s="311">
        <v>642645.70562999998</v>
      </c>
      <c r="BR30" s="272">
        <v>-72950.710400000011</v>
      </c>
      <c r="BS30" s="461">
        <v>-822666.98358</v>
      </c>
      <c r="BT30" s="272">
        <v>8069.8168299999998</v>
      </c>
      <c r="BU30" s="272">
        <v>77115.073470000003</v>
      </c>
      <c r="BV30" s="333">
        <v>962554.91362999997</v>
      </c>
      <c r="BX30" s="272">
        <v>1056100.5667099999</v>
      </c>
      <c r="BY30" s="469">
        <v>18887.768629999999</v>
      </c>
      <c r="BZ30" s="469">
        <v>-3655.9328999999998</v>
      </c>
      <c r="CA30" s="552"/>
      <c r="CB30" s="335">
        <v>5.3</v>
      </c>
      <c r="CC30" s="471">
        <f t="shared" si="0"/>
        <v>5.3</v>
      </c>
      <c r="CD30" s="558"/>
      <c r="CE30" s="272"/>
      <c r="CF30" s="262"/>
      <c r="CI30" s="158">
        <v>0</v>
      </c>
      <c r="CJ30" s="331">
        <v>417468.81745037436</v>
      </c>
      <c r="CK30" s="331">
        <v>477457.41937758704</v>
      </c>
      <c r="CL30" s="331">
        <v>499324.07295301411</v>
      </c>
      <c r="CM30" s="472">
        <v>549315.25337220344</v>
      </c>
      <c r="CN30" s="472">
        <v>567729.08443936089</v>
      </c>
      <c r="CO30" s="480">
        <v>55938.847000000002</v>
      </c>
      <c r="CP30" s="557"/>
      <c r="CQ30" s="474">
        <v>124336.82903000001</v>
      </c>
      <c r="CR30" s="474">
        <v>116212.94825</v>
      </c>
    </row>
    <row r="31" spans="1:96" x14ac:dyDescent="0.2">
      <c r="A31" s="154">
        <v>97</v>
      </c>
      <c r="B31" s="156" t="s">
        <v>65</v>
      </c>
      <c r="C31" s="325">
        <v>2062</v>
      </c>
      <c r="D31" s="270">
        <v>7.3599999999999994</v>
      </c>
      <c r="E31" s="185"/>
      <c r="G31" s="272">
        <v>2229.7958399999998</v>
      </c>
      <c r="H31" s="272">
        <v>6777.35707</v>
      </c>
      <c r="I31" s="272"/>
      <c r="J31" s="272">
        <v>3313.09202</v>
      </c>
      <c r="K31" s="272">
        <v>777.07663000000002</v>
      </c>
      <c r="L31" s="272">
        <v>1450.5595800000001</v>
      </c>
      <c r="M31" s="272">
        <v>5540.7282300000006</v>
      </c>
      <c r="N31" s="272">
        <v>367.46600000000001</v>
      </c>
      <c r="O31" s="272">
        <v>0.18153</v>
      </c>
      <c r="P31" s="272">
        <v>0</v>
      </c>
      <c r="Q31" s="272">
        <v>394.29265999999996</v>
      </c>
      <c r="R31" s="272">
        <v>99.358460000000008</v>
      </c>
      <c r="S31" s="272">
        <v>1655.74873</v>
      </c>
      <c r="U31" s="272">
        <v>528.82456999999999</v>
      </c>
      <c r="V31" s="272">
        <v>0</v>
      </c>
      <c r="W31" s="272">
        <v>0</v>
      </c>
      <c r="X31" s="272">
        <v>1126.92416</v>
      </c>
      <c r="Y31" s="272">
        <v>0</v>
      </c>
      <c r="Z31" s="272">
        <v>0</v>
      </c>
      <c r="AA31" s="272">
        <v>0</v>
      </c>
      <c r="AB31" s="272">
        <v>1126.92416</v>
      </c>
      <c r="AD31" s="272">
        <v>8231.544890000001</v>
      </c>
      <c r="AE31" s="157">
        <v>624.70978000000002</v>
      </c>
      <c r="AF31" s="184">
        <v>-1031.0389499999999</v>
      </c>
      <c r="AG31" s="272">
        <v>-398.49655999999999</v>
      </c>
      <c r="AH31" s="272">
        <v>68.358199999999997</v>
      </c>
      <c r="AI31" s="184">
        <v>55.683860000000003</v>
      </c>
      <c r="AJ31" s="272">
        <v>11617.184650000001</v>
      </c>
      <c r="AL31" s="272">
        <v>0</v>
      </c>
      <c r="AM31" s="184">
        <v>0</v>
      </c>
      <c r="AN31" s="272">
        <v>0</v>
      </c>
      <c r="AO31" s="343">
        <v>2059</v>
      </c>
      <c r="AP31" s="332">
        <v>7.4000000000000012</v>
      </c>
      <c r="AQ31" s="448"/>
      <c r="AS31" s="455">
        <v>2316.9063700000002</v>
      </c>
      <c r="AT31" s="272">
        <v>7391.0597099999995</v>
      </c>
      <c r="AU31" s="450"/>
      <c r="AV31" s="334">
        <v>2919.75297</v>
      </c>
      <c r="AW31" s="334">
        <v>708.04849000000002</v>
      </c>
      <c r="AX31" s="334">
        <v>1631.8175900000001</v>
      </c>
      <c r="AY31" s="334">
        <v>5259.6190500000002</v>
      </c>
      <c r="AZ31" s="334">
        <v>57.006999999999998</v>
      </c>
      <c r="BA31" s="272">
        <v>18.08869</v>
      </c>
      <c r="BB31" s="333">
        <v>0</v>
      </c>
      <c r="BC31" s="272">
        <v>581.87206000000003</v>
      </c>
      <c r="BD31" s="272">
        <v>1.07772</v>
      </c>
      <c r="BE31" s="334">
        <v>841.35573999999997</v>
      </c>
      <c r="BG31" s="331">
        <v>490.58873</v>
      </c>
      <c r="BH31" s="331">
        <v>0</v>
      </c>
      <c r="BI31" s="331">
        <v>0</v>
      </c>
      <c r="BJ31" s="334">
        <v>350.76701000000003</v>
      </c>
      <c r="BK31" s="331">
        <v>0</v>
      </c>
      <c r="BL31" s="334">
        <v>0</v>
      </c>
      <c r="BM31" s="331">
        <v>0</v>
      </c>
      <c r="BN31" s="334">
        <v>350.76701000000003</v>
      </c>
      <c r="BP31" s="334">
        <v>8582.3119000000006</v>
      </c>
      <c r="BQ31" s="311">
        <v>531.20892000000003</v>
      </c>
      <c r="BR31" s="272">
        <v>-310.14681999999999</v>
      </c>
      <c r="BS31" s="461">
        <v>-857.85626999999999</v>
      </c>
      <c r="BT31" s="272">
        <v>77.813779999999994</v>
      </c>
      <c r="BU31" s="272">
        <v>326</v>
      </c>
      <c r="BV31" s="333">
        <v>11614.802960000001</v>
      </c>
      <c r="BX31" s="272">
        <v>0</v>
      </c>
      <c r="BY31" s="469">
        <v>12</v>
      </c>
      <c r="BZ31" s="469">
        <v>0</v>
      </c>
      <c r="CA31" s="552"/>
      <c r="CB31" s="335">
        <v>7.4000000000000012</v>
      </c>
      <c r="CC31" s="471">
        <f t="shared" si="0"/>
        <v>7.4000000000000012</v>
      </c>
      <c r="CD31" s="558"/>
      <c r="CE31" s="272"/>
      <c r="CF31" s="262"/>
      <c r="CI31" s="158">
        <v>0</v>
      </c>
      <c r="CJ31" s="331">
        <v>269.94964372081574</v>
      </c>
      <c r="CK31" s="331">
        <v>304.81084920033254</v>
      </c>
      <c r="CL31" s="331">
        <v>343.484529250984</v>
      </c>
      <c r="CM31" s="472">
        <v>527.82304374308615</v>
      </c>
      <c r="CN31" s="472">
        <v>601.71858570023096</v>
      </c>
      <c r="CO31" s="480">
        <v>-539.47299999999996</v>
      </c>
      <c r="CP31" s="557"/>
      <c r="CQ31" s="474">
        <v>0</v>
      </c>
      <c r="CR31" s="474">
        <v>0</v>
      </c>
    </row>
    <row r="32" spans="1:96" x14ac:dyDescent="0.2">
      <c r="A32" s="154">
        <v>98</v>
      </c>
      <c r="B32" s="156" t="s">
        <v>66</v>
      </c>
      <c r="C32" s="325">
        <v>22885</v>
      </c>
      <c r="D32" s="270">
        <v>8.3599999999999977</v>
      </c>
      <c r="E32" s="185"/>
      <c r="G32" s="272">
        <v>17682.264640000001</v>
      </c>
      <c r="H32" s="272">
        <v>74015.332330000005</v>
      </c>
      <c r="I32" s="272"/>
      <c r="J32" s="272">
        <v>46408.436710000002</v>
      </c>
      <c r="K32" s="272">
        <v>3512.0096100000001</v>
      </c>
      <c r="L32" s="272">
        <v>6168.0065100000002</v>
      </c>
      <c r="M32" s="272">
        <v>56088.452829999995</v>
      </c>
      <c r="N32" s="272">
        <v>20758.271000000001</v>
      </c>
      <c r="O32" s="272">
        <v>12.524809999999999</v>
      </c>
      <c r="P32" s="272">
        <v>250.83015</v>
      </c>
      <c r="Q32" s="272">
        <v>461.70512000000002</v>
      </c>
      <c r="R32" s="272">
        <v>6.0979200000000002</v>
      </c>
      <c r="S32" s="272">
        <v>20791.81234</v>
      </c>
      <c r="U32" s="272">
        <v>10132.03177</v>
      </c>
      <c r="V32" s="272">
        <v>0</v>
      </c>
      <c r="W32" s="272">
        <v>0</v>
      </c>
      <c r="X32" s="272">
        <v>10659.780570000001</v>
      </c>
      <c r="Y32" s="272">
        <v>-249.99995999999999</v>
      </c>
      <c r="Z32" s="272">
        <v>10600</v>
      </c>
      <c r="AA32" s="272">
        <v>0</v>
      </c>
      <c r="AB32" s="272">
        <v>309.78053000000006</v>
      </c>
      <c r="AD32" s="272">
        <v>25476.394479999999</v>
      </c>
      <c r="AE32" s="157">
        <v>20162.129920000003</v>
      </c>
      <c r="AF32" s="184">
        <v>-629.68242000000009</v>
      </c>
      <c r="AG32" s="272">
        <v>-8174.69067</v>
      </c>
      <c r="AH32" s="272">
        <v>0.75</v>
      </c>
      <c r="AI32" s="184">
        <v>6175.01674</v>
      </c>
      <c r="AJ32" s="272">
        <v>28685.143379999998</v>
      </c>
      <c r="AL32" s="272">
        <v>23866.666620000004</v>
      </c>
      <c r="AM32" s="184">
        <v>64.781350000000003</v>
      </c>
      <c r="AN32" s="272">
        <v>-5692.5483400000003</v>
      </c>
      <c r="AO32" s="343">
        <v>22849</v>
      </c>
      <c r="AP32" s="332">
        <v>8.3000000000000007</v>
      </c>
      <c r="AQ32" s="448"/>
      <c r="AS32" s="455">
        <v>18482.40568</v>
      </c>
      <c r="AT32" s="272">
        <v>76858.744129999992</v>
      </c>
      <c r="AU32" s="450"/>
      <c r="AV32" s="334">
        <v>43459.404060000001</v>
      </c>
      <c r="AW32" s="334">
        <v>2598.8631399999999</v>
      </c>
      <c r="AX32" s="334">
        <v>6464.6947699999992</v>
      </c>
      <c r="AY32" s="334">
        <v>52522.961969999997</v>
      </c>
      <c r="AZ32" s="334">
        <v>17362.273000000001</v>
      </c>
      <c r="BA32" s="272">
        <v>1.0017</v>
      </c>
      <c r="BB32" s="333">
        <v>167.70122000000001</v>
      </c>
      <c r="BC32" s="272">
        <v>792.7326700000001</v>
      </c>
      <c r="BD32" s="272">
        <v>4.2420299999999997</v>
      </c>
      <c r="BE32" s="334">
        <v>12223.86312</v>
      </c>
      <c r="BG32" s="331">
        <v>8190.8110299999998</v>
      </c>
      <c r="BH32" s="331">
        <v>0</v>
      </c>
      <c r="BI32" s="331">
        <v>0</v>
      </c>
      <c r="BJ32" s="334">
        <v>4033.0520899999997</v>
      </c>
      <c r="BK32" s="334">
        <v>-249.99995999999999</v>
      </c>
      <c r="BL32" s="331">
        <v>3735.3434999999999</v>
      </c>
      <c r="BM32" s="331">
        <v>0</v>
      </c>
      <c r="BN32" s="334">
        <v>547.70855000000006</v>
      </c>
      <c r="BP32" s="334">
        <v>26024.103030000002</v>
      </c>
      <c r="BQ32" s="311">
        <v>11702.470449999999</v>
      </c>
      <c r="BR32" s="272">
        <v>-521.39266999999995</v>
      </c>
      <c r="BS32" s="461">
        <v>-17676.734800000002</v>
      </c>
      <c r="BT32" s="272">
        <v>377.70565999999997</v>
      </c>
      <c r="BU32" s="272">
        <v>582.96299999999997</v>
      </c>
      <c r="BV32" s="333">
        <v>19862.193289999999</v>
      </c>
      <c r="BX32" s="272">
        <v>19858.333280000003</v>
      </c>
      <c r="BY32" s="469">
        <v>85</v>
      </c>
      <c r="BZ32" s="469">
        <v>-4008.3333399999997</v>
      </c>
      <c r="CA32" s="552"/>
      <c r="CB32" s="335">
        <v>8.2999999999999989</v>
      </c>
      <c r="CC32" s="471">
        <f t="shared" si="0"/>
        <v>8.2999999999999989</v>
      </c>
      <c r="CD32" s="558"/>
      <c r="CE32" s="272"/>
      <c r="CF32" s="262"/>
      <c r="CI32" s="158">
        <v>0</v>
      </c>
      <c r="CJ32" s="331">
        <v>18662.202227901191</v>
      </c>
      <c r="CK32" s="331">
        <v>17742.981057110352</v>
      </c>
      <c r="CL32" s="331">
        <v>19503.617055080034</v>
      </c>
      <c r="CM32" s="472">
        <v>20722.748408827883</v>
      </c>
      <c r="CN32" s="472">
        <v>21192.860182807475</v>
      </c>
      <c r="CO32" s="480">
        <v>-5195.0020000000004</v>
      </c>
      <c r="CP32" s="557"/>
      <c r="CQ32" s="474">
        <v>60.854339999999993</v>
      </c>
      <c r="CR32" s="474">
        <v>93.175479999999993</v>
      </c>
    </row>
    <row r="33" spans="1:96" x14ac:dyDescent="0.2">
      <c r="A33" s="154">
        <v>102</v>
      </c>
      <c r="B33" s="156" t="s">
        <v>67</v>
      </c>
      <c r="C33" s="325">
        <v>9646</v>
      </c>
      <c r="D33" s="270">
        <v>8.36</v>
      </c>
      <c r="E33" s="185"/>
      <c r="G33" s="272">
        <v>9334.502410000001</v>
      </c>
      <c r="H33" s="272">
        <v>33564.563390000003</v>
      </c>
      <c r="I33" s="272"/>
      <c r="J33" s="272">
        <v>16093.7379</v>
      </c>
      <c r="K33" s="272">
        <v>2455.5802999999996</v>
      </c>
      <c r="L33" s="272">
        <v>2825.0398399999999</v>
      </c>
      <c r="M33" s="272">
        <v>21374.358039999999</v>
      </c>
      <c r="N33" s="272">
        <v>10345.641</v>
      </c>
      <c r="O33" s="272">
        <v>1.28084</v>
      </c>
      <c r="P33" s="272">
        <v>349.07848999999999</v>
      </c>
      <c r="Q33" s="272">
        <v>146.32024999999999</v>
      </c>
      <c r="R33" s="272">
        <v>3.4742899999999999</v>
      </c>
      <c r="S33" s="272">
        <v>7284.9863700000005</v>
      </c>
      <c r="U33" s="272">
        <v>3856.7577000000001</v>
      </c>
      <c r="V33" s="272">
        <v>0</v>
      </c>
      <c r="W33" s="272">
        <v>0</v>
      </c>
      <c r="X33" s="272">
        <v>3428.22867</v>
      </c>
      <c r="Y33" s="272">
        <v>-12.644579999999999</v>
      </c>
      <c r="Z33" s="272">
        <v>0</v>
      </c>
      <c r="AA33" s="272">
        <v>0</v>
      </c>
      <c r="AB33" s="272">
        <v>3440.8732500000001</v>
      </c>
      <c r="AD33" s="272">
        <v>12781.321460000001</v>
      </c>
      <c r="AE33" s="157">
        <v>7033.90769</v>
      </c>
      <c r="AF33" s="184">
        <v>-251.07867999999999</v>
      </c>
      <c r="AG33" s="272">
        <v>-14716.209859999999</v>
      </c>
      <c r="AH33" s="272">
        <v>150</v>
      </c>
      <c r="AI33" s="184">
        <v>387.98500000000001</v>
      </c>
      <c r="AJ33" s="272">
        <v>4226.1045000000004</v>
      </c>
      <c r="AL33" s="272">
        <v>29931.943670000001</v>
      </c>
      <c r="AM33" s="184">
        <v>-27.78</v>
      </c>
      <c r="AN33" s="272">
        <v>7762.2302</v>
      </c>
      <c r="AO33" s="343">
        <v>9555</v>
      </c>
      <c r="AP33" s="332">
        <v>9</v>
      </c>
      <c r="AQ33" s="448"/>
      <c r="AS33" s="455">
        <v>9428.0487200000007</v>
      </c>
      <c r="AT33" s="272">
        <v>33854.851329999998</v>
      </c>
      <c r="AU33" s="450"/>
      <c r="AV33" s="334">
        <v>16759.879870000001</v>
      </c>
      <c r="AW33" s="334">
        <v>1932.0182500000001</v>
      </c>
      <c r="AX33" s="334">
        <v>2858.1378</v>
      </c>
      <c r="AY33" s="334">
        <v>21550.035920000002</v>
      </c>
      <c r="AZ33" s="334">
        <v>8100.1360000000004</v>
      </c>
      <c r="BA33" s="272">
        <v>53.375219999999999</v>
      </c>
      <c r="BB33" s="333">
        <v>686.09031999999991</v>
      </c>
      <c r="BC33" s="272">
        <v>113.21445</v>
      </c>
      <c r="BD33" s="272">
        <v>3.6712899999999999</v>
      </c>
      <c r="BE33" s="334">
        <v>4700.1973699999999</v>
      </c>
      <c r="BG33" s="331">
        <v>4712.2634699999999</v>
      </c>
      <c r="BH33" s="331">
        <v>0</v>
      </c>
      <c r="BI33" s="334">
        <v>0</v>
      </c>
      <c r="BJ33" s="334">
        <v>-12.0661</v>
      </c>
      <c r="BK33" s="331">
        <v>-12.35539</v>
      </c>
      <c r="BL33" s="331">
        <v>0</v>
      </c>
      <c r="BM33" s="331">
        <v>0</v>
      </c>
      <c r="BN33" s="334">
        <v>0.28929000000000005</v>
      </c>
      <c r="BP33" s="334">
        <v>12781.61075</v>
      </c>
      <c r="BQ33" s="311">
        <v>4862.7388000000001</v>
      </c>
      <c r="BR33" s="272">
        <v>162.54142999999999</v>
      </c>
      <c r="BS33" s="461">
        <v>-5535.0798199999999</v>
      </c>
      <c r="BT33" s="272">
        <v>5</v>
      </c>
      <c r="BU33" s="272">
        <v>38.7104</v>
      </c>
      <c r="BV33" s="333">
        <v>5236.6159299999999</v>
      </c>
      <c r="BX33" s="272">
        <v>33031.155409999999</v>
      </c>
      <c r="BY33" s="469">
        <v>-2.2999999999999998</v>
      </c>
      <c r="BZ33" s="469">
        <v>3099.2117400000002</v>
      </c>
      <c r="CA33" s="552"/>
      <c r="CB33" s="335">
        <v>9</v>
      </c>
      <c r="CC33" s="471">
        <f t="shared" si="0"/>
        <v>9</v>
      </c>
      <c r="CD33" s="558"/>
      <c r="CE33" s="272"/>
      <c r="CF33" s="262"/>
      <c r="CI33" s="158">
        <v>0</v>
      </c>
      <c r="CJ33" s="331">
        <v>8557.8586341758582</v>
      </c>
      <c r="CK33" s="331">
        <v>8655.502815973261</v>
      </c>
      <c r="CL33" s="331">
        <v>9367.467488057091</v>
      </c>
      <c r="CM33" s="472">
        <v>9966.4205861995542</v>
      </c>
      <c r="CN33" s="472">
        <v>10157.498227469958</v>
      </c>
      <c r="CO33" s="480">
        <v>1074.556</v>
      </c>
      <c r="CP33" s="557"/>
      <c r="CQ33" s="474">
        <v>0</v>
      </c>
      <c r="CR33" s="474">
        <v>0</v>
      </c>
    </row>
    <row r="34" spans="1:96" x14ac:dyDescent="0.2">
      <c r="A34" s="154">
        <v>103</v>
      </c>
      <c r="B34" s="156" t="s">
        <v>68</v>
      </c>
      <c r="C34" s="325">
        <v>2125</v>
      </c>
      <c r="D34" s="270">
        <v>9.36</v>
      </c>
      <c r="E34" s="185"/>
      <c r="G34" s="272">
        <v>882.80901000000006</v>
      </c>
      <c r="H34" s="272">
        <v>7011.4946600000003</v>
      </c>
      <c r="I34" s="272"/>
      <c r="J34" s="272">
        <v>3603.8335099999999</v>
      </c>
      <c r="K34" s="272">
        <v>416.00859000000003</v>
      </c>
      <c r="L34" s="272">
        <v>723.0479499999999</v>
      </c>
      <c r="M34" s="272">
        <v>4742.89005</v>
      </c>
      <c r="N34" s="272">
        <v>1755.0050000000001</v>
      </c>
      <c r="O34" s="272">
        <v>22.348790000000001</v>
      </c>
      <c r="P34" s="272">
        <v>64.748670000000004</v>
      </c>
      <c r="Q34" s="272">
        <v>8.9752900000000011</v>
      </c>
      <c r="R34" s="272">
        <v>8.6879999999999999E-2</v>
      </c>
      <c r="S34" s="272">
        <v>335.69792999999999</v>
      </c>
      <c r="U34" s="272">
        <v>356.92570000000001</v>
      </c>
      <c r="V34" s="272">
        <v>0</v>
      </c>
      <c r="W34" s="272">
        <v>0</v>
      </c>
      <c r="X34" s="272">
        <v>-21.22777</v>
      </c>
      <c r="Y34" s="272">
        <v>-2.3321700000000001</v>
      </c>
      <c r="Z34" s="272">
        <v>0</v>
      </c>
      <c r="AA34" s="272">
        <v>-3.5</v>
      </c>
      <c r="AB34" s="272">
        <v>-15.3956</v>
      </c>
      <c r="AD34" s="272">
        <v>403.36599999999999</v>
      </c>
      <c r="AE34" s="157">
        <v>335.69792999999999</v>
      </c>
      <c r="AF34" s="184">
        <v>0</v>
      </c>
      <c r="AG34" s="272">
        <v>-374.02143999999998</v>
      </c>
      <c r="AH34" s="272">
        <v>0</v>
      </c>
      <c r="AI34" s="184">
        <v>0</v>
      </c>
      <c r="AJ34" s="272">
        <v>326.50056999999998</v>
      </c>
      <c r="AL34" s="272">
        <v>3725</v>
      </c>
      <c r="AM34" s="184">
        <v>8.6336399999999998</v>
      </c>
      <c r="AN34" s="272">
        <v>-200</v>
      </c>
      <c r="AO34" s="343">
        <v>2094</v>
      </c>
      <c r="AP34" s="332">
        <v>9.3000000000000007</v>
      </c>
      <c r="AQ34" s="448"/>
      <c r="AS34" s="455">
        <v>1136.16869</v>
      </c>
      <c r="AT34" s="272">
        <v>7370.7185399999998</v>
      </c>
      <c r="AU34" s="450"/>
      <c r="AV34" s="334">
        <v>3755.36211</v>
      </c>
      <c r="AW34" s="334">
        <v>316.93471</v>
      </c>
      <c r="AX34" s="334">
        <v>710.07177999999999</v>
      </c>
      <c r="AY34" s="334">
        <v>4782.3685999999998</v>
      </c>
      <c r="AZ34" s="334">
        <v>1277.5</v>
      </c>
      <c r="BA34" s="272">
        <v>35.332419999999999</v>
      </c>
      <c r="BB34" s="333">
        <v>110.99382000000001</v>
      </c>
      <c r="BC34" s="272">
        <v>13.386370000000001</v>
      </c>
      <c r="BD34" s="272">
        <v>0.39967000000000003</v>
      </c>
      <c r="BE34" s="334">
        <v>-237.35595000000001</v>
      </c>
      <c r="BG34" s="331">
        <v>388.56689</v>
      </c>
      <c r="BH34" s="331">
        <v>0</v>
      </c>
      <c r="BI34" s="331">
        <v>757.26833999999997</v>
      </c>
      <c r="BJ34" s="334">
        <v>-1383.19118</v>
      </c>
      <c r="BK34" s="334">
        <v>-2.3321700000000001</v>
      </c>
      <c r="BL34" s="331">
        <v>0</v>
      </c>
      <c r="BM34" s="331">
        <v>0</v>
      </c>
      <c r="BN34" s="334">
        <v>-1380.8590099999999</v>
      </c>
      <c r="BP34" s="334">
        <v>-977.49301000000003</v>
      </c>
      <c r="BQ34" s="311">
        <v>-248.88185000000001</v>
      </c>
      <c r="BR34" s="272">
        <v>745.74243999999999</v>
      </c>
      <c r="BS34" s="461">
        <v>-809.90012000000002</v>
      </c>
      <c r="BT34" s="272">
        <v>135.75</v>
      </c>
      <c r="BU34" s="272">
        <v>892.17730000000006</v>
      </c>
      <c r="BV34" s="333">
        <v>667.50452000000007</v>
      </c>
      <c r="BX34" s="272">
        <v>4190</v>
      </c>
      <c r="BY34" s="469">
        <v>7.6336400000000006</v>
      </c>
      <c r="BZ34" s="469">
        <v>465</v>
      </c>
      <c r="CA34" s="552"/>
      <c r="CB34" s="335">
        <v>9.3000000000000007</v>
      </c>
      <c r="CC34" s="471">
        <f t="shared" si="0"/>
        <v>9.3000000000000007</v>
      </c>
      <c r="CD34" s="558"/>
      <c r="CE34" s="272"/>
      <c r="CF34" s="262"/>
      <c r="CG34" s="260"/>
      <c r="CI34" s="158">
        <v>350</v>
      </c>
      <c r="CJ34" s="331">
        <v>1348.192097209236</v>
      </c>
      <c r="CK34" s="331">
        <v>1189.5015203953244</v>
      </c>
      <c r="CL34" s="331">
        <v>1345.5254158621819</v>
      </c>
      <c r="CM34" s="472">
        <v>1614.7152523484415</v>
      </c>
      <c r="CN34" s="472">
        <v>1604.1195474959363</v>
      </c>
      <c r="CO34" s="480">
        <v>-547.16300000000001</v>
      </c>
      <c r="CP34" s="557"/>
      <c r="CQ34" s="474">
        <v>0</v>
      </c>
      <c r="CR34" s="474">
        <v>0</v>
      </c>
    </row>
    <row r="35" spans="1:96" x14ac:dyDescent="0.2">
      <c r="A35" s="154">
        <v>105</v>
      </c>
      <c r="B35" s="156" t="s">
        <v>69</v>
      </c>
      <c r="C35" s="325">
        <v>2063</v>
      </c>
      <c r="D35" s="270">
        <v>9.11</v>
      </c>
      <c r="E35" s="185"/>
      <c r="G35" s="272">
        <v>2312.3123900000001</v>
      </c>
      <c r="H35" s="272">
        <v>8365.8215500000006</v>
      </c>
      <c r="I35" s="272"/>
      <c r="J35" s="272">
        <v>3037.3978900000002</v>
      </c>
      <c r="K35" s="272">
        <v>702.19534999999996</v>
      </c>
      <c r="L35" s="272">
        <v>1291.9217800000001</v>
      </c>
      <c r="M35" s="272">
        <v>5031.5150199999998</v>
      </c>
      <c r="N35" s="272">
        <v>2476.288</v>
      </c>
      <c r="O35" s="272">
        <v>7.28024</v>
      </c>
      <c r="P35" s="272">
        <v>104.47258000000001</v>
      </c>
      <c r="Q35" s="272">
        <v>2.9548899999999998</v>
      </c>
      <c r="R35" s="272">
        <v>1.0922100000000001</v>
      </c>
      <c r="S35" s="272">
        <v>1358.9641999999999</v>
      </c>
      <c r="U35" s="272">
        <v>575.39443000000006</v>
      </c>
      <c r="V35" s="272">
        <v>0</v>
      </c>
      <c r="W35" s="272">
        <v>0</v>
      </c>
      <c r="X35" s="272">
        <v>783.56977000000006</v>
      </c>
      <c r="Y35" s="272">
        <v>-71.215820000000008</v>
      </c>
      <c r="Z35" s="272">
        <v>0</v>
      </c>
      <c r="AA35" s="272">
        <v>0</v>
      </c>
      <c r="AB35" s="272">
        <v>854.78558999999996</v>
      </c>
      <c r="AD35" s="272">
        <v>4066.3266999999996</v>
      </c>
      <c r="AE35" s="157">
        <v>1361.81483</v>
      </c>
      <c r="AF35" s="184">
        <v>2.8506300000000002</v>
      </c>
      <c r="AG35" s="272">
        <v>-846.71906999999999</v>
      </c>
      <c r="AH35" s="272">
        <v>9.0523199999999999</v>
      </c>
      <c r="AI35" s="184">
        <v>46.977739999999997</v>
      </c>
      <c r="AJ35" s="272">
        <v>2244.6239</v>
      </c>
      <c r="AL35" s="272">
        <v>2900</v>
      </c>
      <c r="AM35" s="184">
        <v>0</v>
      </c>
      <c r="AN35" s="272">
        <v>-92</v>
      </c>
      <c r="AO35" s="343">
        <v>2002</v>
      </c>
      <c r="AP35" s="332">
        <v>9</v>
      </c>
      <c r="AQ35" s="448"/>
      <c r="AS35" s="455">
        <v>2014.2521899999999</v>
      </c>
      <c r="AT35" s="272">
        <v>8553.3526099999999</v>
      </c>
      <c r="AU35" s="450"/>
      <c r="AV35" s="334">
        <v>3146.6216600000002</v>
      </c>
      <c r="AW35" s="334">
        <v>563.03690000000006</v>
      </c>
      <c r="AX35" s="334">
        <v>1971.8642600000001</v>
      </c>
      <c r="AY35" s="334">
        <v>5681.5228200000001</v>
      </c>
      <c r="AZ35" s="334">
        <v>2699.915</v>
      </c>
      <c r="BA35" s="272">
        <v>10.274509999999999</v>
      </c>
      <c r="BB35" s="333">
        <v>97.739960000000011</v>
      </c>
      <c r="BC35" s="272">
        <v>5.8556899999999992</v>
      </c>
      <c r="BD35" s="272">
        <v>1.52878</v>
      </c>
      <c r="BE35" s="334">
        <v>1759.1988600000002</v>
      </c>
      <c r="BG35" s="331">
        <v>582.52595999999994</v>
      </c>
      <c r="BH35" s="334">
        <v>0</v>
      </c>
      <c r="BI35" s="334">
        <v>0</v>
      </c>
      <c r="BJ35" s="334">
        <v>1176.6728999999998</v>
      </c>
      <c r="BK35" s="334">
        <v>-49.693860000000001</v>
      </c>
      <c r="BL35" s="334">
        <v>0</v>
      </c>
      <c r="BM35" s="331">
        <v>0</v>
      </c>
      <c r="BN35" s="334">
        <v>1226.3667600000001</v>
      </c>
      <c r="BP35" s="334">
        <v>5292.6934600000004</v>
      </c>
      <c r="BQ35" s="311">
        <v>1722.3246899999999</v>
      </c>
      <c r="BR35" s="272">
        <v>-36.874169999999999</v>
      </c>
      <c r="BS35" s="461">
        <v>-745.54791</v>
      </c>
      <c r="BT35" s="272">
        <v>17.626669999999997</v>
      </c>
      <c r="BU35" s="272">
        <v>37.404000000000003</v>
      </c>
      <c r="BV35" s="333">
        <v>1603.8491299999998</v>
      </c>
      <c r="BX35" s="272">
        <v>1700</v>
      </c>
      <c r="BY35" s="469">
        <v>-500</v>
      </c>
      <c r="BZ35" s="469">
        <v>-1200</v>
      </c>
      <c r="CA35" s="552"/>
      <c r="CB35" s="335">
        <v>9</v>
      </c>
      <c r="CC35" s="471">
        <f t="shared" si="0"/>
        <v>9</v>
      </c>
      <c r="CD35" s="558"/>
      <c r="CE35" s="272"/>
      <c r="CF35" s="262"/>
      <c r="CG35" s="260"/>
      <c r="CI35" s="158">
        <v>0</v>
      </c>
      <c r="CJ35" s="331">
        <v>2990.5365326093088</v>
      </c>
      <c r="CK35" s="331">
        <v>2831.0570371341746</v>
      </c>
      <c r="CL35" s="331">
        <v>3024.2068368445189</v>
      </c>
      <c r="CM35" s="472">
        <v>3378.3985777139669</v>
      </c>
      <c r="CN35" s="472">
        <v>3517.4808348165857</v>
      </c>
      <c r="CO35" s="480">
        <v>-485.61099999999999</v>
      </c>
      <c r="CP35" s="557"/>
      <c r="CQ35" s="474">
        <v>0</v>
      </c>
      <c r="CR35" s="474">
        <v>0</v>
      </c>
    </row>
    <row r="36" spans="1:96" x14ac:dyDescent="0.2">
      <c r="A36" s="154">
        <v>106</v>
      </c>
      <c r="B36" s="156" t="s">
        <v>70</v>
      </c>
      <c r="C36" s="325">
        <v>46901</v>
      </c>
      <c r="D36" s="270">
        <v>7.6100000000000012</v>
      </c>
      <c r="E36" s="185"/>
      <c r="G36" s="272">
        <v>41045.558600000004</v>
      </c>
      <c r="H36" s="272">
        <v>140834.45353</v>
      </c>
      <c r="I36" s="272"/>
      <c r="J36" s="272">
        <v>95505.564239999992</v>
      </c>
      <c r="K36" s="272">
        <v>14506.77246</v>
      </c>
      <c r="L36" s="272">
        <v>14562.026199999998</v>
      </c>
      <c r="M36" s="272">
        <v>124574.36290000001</v>
      </c>
      <c r="N36" s="272">
        <v>21067.143479999999</v>
      </c>
      <c r="O36" s="272">
        <v>263.44014000000004</v>
      </c>
      <c r="P36" s="272">
        <v>2217.9944</v>
      </c>
      <c r="Q36" s="272">
        <v>1165.45019</v>
      </c>
      <c r="R36" s="272">
        <v>28.839009999999998</v>
      </c>
      <c r="S36" s="272">
        <v>46876.178369999994</v>
      </c>
      <c r="U36" s="272">
        <v>20315.58858</v>
      </c>
      <c r="V36" s="272">
        <v>0</v>
      </c>
      <c r="W36" s="272">
        <v>0</v>
      </c>
      <c r="X36" s="272">
        <v>26560.589789999998</v>
      </c>
      <c r="Y36" s="272">
        <v>-366.66672</v>
      </c>
      <c r="Z36" s="272">
        <v>15000</v>
      </c>
      <c r="AA36" s="272">
        <v>0</v>
      </c>
      <c r="AB36" s="272">
        <v>11927.256509999999</v>
      </c>
      <c r="AD36" s="272">
        <v>46056.156089999997</v>
      </c>
      <c r="AE36" s="157">
        <v>43651.823320000003</v>
      </c>
      <c r="AF36" s="184">
        <v>-3224.3550499999997</v>
      </c>
      <c r="AG36" s="272">
        <v>-26964.64934</v>
      </c>
      <c r="AH36" s="272">
        <v>767.58799999999997</v>
      </c>
      <c r="AI36" s="184">
        <v>7212.4542999999994</v>
      </c>
      <c r="AJ36" s="272">
        <v>39376.50864</v>
      </c>
      <c r="AL36" s="272">
        <v>103222.06723</v>
      </c>
      <c r="AM36" s="184">
        <v>71.584000000000003</v>
      </c>
      <c r="AN36" s="272">
        <v>-11004.15468</v>
      </c>
      <c r="AO36" s="343">
        <v>47031</v>
      </c>
      <c r="AP36" s="332">
        <v>7.6</v>
      </c>
      <c r="AQ36" s="448"/>
      <c r="AS36" s="455">
        <v>40845.728259999996</v>
      </c>
      <c r="AT36" s="272">
        <v>144731.89891999998</v>
      </c>
      <c r="AU36" s="450"/>
      <c r="AV36" s="334">
        <v>91394.069860000003</v>
      </c>
      <c r="AW36" s="334">
        <v>9636.4820999999993</v>
      </c>
      <c r="AX36" s="334">
        <v>15563.993869999998</v>
      </c>
      <c r="AY36" s="334">
        <v>116594.54583</v>
      </c>
      <c r="AZ36" s="334">
        <v>11851.049000000001</v>
      </c>
      <c r="BA36" s="272">
        <v>309.97841999999997</v>
      </c>
      <c r="BB36" s="333">
        <v>2244.0937899999999</v>
      </c>
      <c r="BC36" s="272">
        <v>1151.79216</v>
      </c>
      <c r="BD36" s="272">
        <v>34.188749999999999</v>
      </c>
      <c r="BE36" s="334">
        <v>25439.549199999998</v>
      </c>
      <c r="BG36" s="331">
        <v>22884.702399999998</v>
      </c>
      <c r="BH36" s="331">
        <v>0</v>
      </c>
      <c r="BI36" s="331">
        <v>0</v>
      </c>
      <c r="BJ36" s="334">
        <v>2554.8467999999998</v>
      </c>
      <c r="BK36" s="334">
        <v>-366.66672</v>
      </c>
      <c r="BL36" s="331">
        <v>0</v>
      </c>
      <c r="BM36" s="331">
        <v>0</v>
      </c>
      <c r="BN36" s="334">
        <v>2921.51352</v>
      </c>
      <c r="BP36" s="334">
        <v>48977.669610000004</v>
      </c>
      <c r="BQ36" s="311">
        <v>23253.57171</v>
      </c>
      <c r="BR36" s="272">
        <v>-2185.9774900000002</v>
      </c>
      <c r="BS36" s="461">
        <v>-25106.640350000001</v>
      </c>
      <c r="BT36" s="272">
        <v>196.011</v>
      </c>
      <c r="BU36" s="272">
        <v>2780.54144</v>
      </c>
      <c r="BV36" s="333">
        <v>40401.617840000006</v>
      </c>
      <c r="BX36" s="272">
        <v>97745.944489999994</v>
      </c>
      <c r="BY36" s="469">
        <v>136.584</v>
      </c>
      <c r="BZ36" s="469">
        <v>-5476.1227399999998</v>
      </c>
      <c r="CA36" s="552"/>
      <c r="CB36" s="335">
        <v>7.7</v>
      </c>
      <c r="CC36" s="471">
        <f t="shared" si="0"/>
        <v>7.7</v>
      </c>
      <c r="CD36" s="558"/>
      <c r="CE36" s="272"/>
      <c r="CF36" s="262"/>
      <c r="CI36" s="158">
        <v>0</v>
      </c>
      <c r="CJ36" s="331">
        <v>16243.356631099748</v>
      </c>
      <c r="CK36" s="331">
        <v>17398.129269033521</v>
      </c>
      <c r="CL36" s="331">
        <v>16236.561564562904</v>
      </c>
      <c r="CM36" s="472">
        <v>18955.646526724227</v>
      </c>
      <c r="CN36" s="472">
        <v>18926.088975902752</v>
      </c>
      <c r="CO36" s="480">
        <v>-438.73200000000003</v>
      </c>
      <c r="CP36" s="557"/>
      <c r="CQ36" s="474">
        <v>1841.51</v>
      </c>
      <c r="CR36" s="474">
        <v>1696.63699</v>
      </c>
    </row>
    <row r="37" spans="1:96" x14ac:dyDescent="0.2">
      <c r="A37" s="154">
        <v>108</v>
      </c>
      <c r="B37" s="156" t="s">
        <v>71</v>
      </c>
      <c r="C37" s="325">
        <v>10319</v>
      </c>
      <c r="D37" s="270">
        <v>9.36</v>
      </c>
      <c r="E37" s="185"/>
      <c r="G37" s="272">
        <v>8616.0580900000004</v>
      </c>
      <c r="H37" s="272">
        <v>34298.91545</v>
      </c>
      <c r="I37" s="272"/>
      <c r="J37" s="272">
        <v>19412.017159999999</v>
      </c>
      <c r="K37" s="272">
        <v>2322.7038600000001</v>
      </c>
      <c r="L37" s="272">
        <v>2386.2895099999996</v>
      </c>
      <c r="M37" s="272">
        <v>24121.01053</v>
      </c>
      <c r="N37" s="272">
        <v>8966.6830000000009</v>
      </c>
      <c r="O37" s="272">
        <v>232.71754000000001</v>
      </c>
      <c r="P37" s="272">
        <v>675.68808999999999</v>
      </c>
      <c r="Q37" s="272">
        <v>246.82551999999998</v>
      </c>
      <c r="R37" s="272">
        <v>19.769009999999998</v>
      </c>
      <c r="S37" s="272">
        <v>7223.5788300000004</v>
      </c>
      <c r="U37" s="272">
        <v>5047.4285499999996</v>
      </c>
      <c r="V37" s="272">
        <v>0</v>
      </c>
      <c r="W37" s="272">
        <v>0</v>
      </c>
      <c r="X37" s="272">
        <v>2176.1502799999998</v>
      </c>
      <c r="Y37" s="272">
        <v>-77.211219999999997</v>
      </c>
      <c r="Z37" s="272">
        <v>0</v>
      </c>
      <c r="AA37" s="272">
        <v>0</v>
      </c>
      <c r="AB37" s="272">
        <v>2253.3615</v>
      </c>
      <c r="AD37" s="272">
        <v>4435.9717500000006</v>
      </c>
      <c r="AE37" s="157">
        <v>6980.6250899999995</v>
      </c>
      <c r="AF37" s="184">
        <v>-242.95373999999998</v>
      </c>
      <c r="AG37" s="272">
        <v>-5168.9989500000001</v>
      </c>
      <c r="AH37" s="272">
        <v>34.4</v>
      </c>
      <c r="AI37" s="184">
        <v>818.61301000000003</v>
      </c>
      <c r="AJ37" s="272">
        <v>8465.6874499999994</v>
      </c>
      <c r="AL37" s="272">
        <v>37937.792999999998</v>
      </c>
      <c r="AM37" s="184">
        <v>17.11628</v>
      </c>
      <c r="AN37" s="272">
        <v>-3309.654</v>
      </c>
      <c r="AO37" s="343">
        <v>10348</v>
      </c>
      <c r="AP37" s="332">
        <v>9.4</v>
      </c>
      <c r="AQ37" s="448"/>
      <c r="AS37" s="455">
        <v>8555.3902300000009</v>
      </c>
      <c r="AT37" s="272">
        <v>35290.197359999998</v>
      </c>
      <c r="AU37" s="450"/>
      <c r="AV37" s="334">
        <v>20389.439640000001</v>
      </c>
      <c r="AW37" s="334">
        <v>1506.02629</v>
      </c>
      <c r="AX37" s="334">
        <v>2625.3623299999999</v>
      </c>
      <c r="AY37" s="334">
        <v>24520.828260000002</v>
      </c>
      <c r="AZ37" s="334">
        <v>7971.4889999999996</v>
      </c>
      <c r="BA37" s="272">
        <v>68.182960000000008</v>
      </c>
      <c r="BB37" s="333">
        <v>720.54714999999999</v>
      </c>
      <c r="BC37" s="272">
        <v>296.00771000000003</v>
      </c>
      <c r="BD37" s="272">
        <v>25.811869999999999</v>
      </c>
      <c r="BE37" s="334">
        <v>5410.4917599999999</v>
      </c>
      <c r="BG37" s="331">
        <v>5687.2663300000004</v>
      </c>
      <c r="BH37" s="334">
        <v>0</v>
      </c>
      <c r="BI37" s="331">
        <v>0</v>
      </c>
      <c r="BJ37" s="334">
        <v>-276.77456999999998</v>
      </c>
      <c r="BK37" s="334">
        <v>-77.211219999999997</v>
      </c>
      <c r="BL37" s="331">
        <v>0</v>
      </c>
      <c r="BM37" s="331">
        <v>0</v>
      </c>
      <c r="BN37" s="334">
        <v>-199.56335000000001</v>
      </c>
      <c r="BP37" s="334">
        <v>4236.4084000000003</v>
      </c>
      <c r="BQ37" s="311">
        <v>5269.5947500000002</v>
      </c>
      <c r="BR37" s="272">
        <v>-140.89701000000002</v>
      </c>
      <c r="BS37" s="461">
        <v>-4389.82899</v>
      </c>
      <c r="BT37" s="272">
        <v>31.1</v>
      </c>
      <c r="BU37" s="272">
        <v>319.13281000000001</v>
      </c>
      <c r="BV37" s="333">
        <v>8714.9538900000007</v>
      </c>
      <c r="BX37" s="272">
        <v>36926.936999999998</v>
      </c>
      <c r="BY37" s="469">
        <v>38.191279999999999</v>
      </c>
      <c r="BZ37" s="469">
        <v>-1010.856</v>
      </c>
      <c r="CA37" s="552"/>
      <c r="CB37" s="335">
        <v>9.3999999999999986</v>
      </c>
      <c r="CC37" s="471">
        <f t="shared" si="0"/>
        <v>9.3999999999999986</v>
      </c>
      <c r="CD37" s="558"/>
      <c r="CE37" s="272"/>
      <c r="CF37" s="262"/>
      <c r="CI37" s="158">
        <v>0</v>
      </c>
      <c r="CJ37" s="331">
        <v>8615.2910553365455</v>
      </c>
      <c r="CK37" s="331">
        <v>9308.7541868698918</v>
      </c>
      <c r="CL37" s="331">
        <v>9881.3533922975002</v>
      </c>
      <c r="CM37" s="472">
        <v>10588.479458020156</v>
      </c>
      <c r="CN37" s="472">
        <v>10928.051105444843</v>
      </c>
      <c r="CO37" s="480">
        <v>-1268.3209999999999</v>
      </c>
      <c r="CP37" s="557"/>
      <c r="CQ37" s="474">
        <v>34.656699999999994</v>
      </c>
      <c r="CR37" s="474">
        <v>35.149980000000006</v>
      </c>
    </row>
    <row r="38" spans="1:96" x14ac:dyDescent="0.2">
      <c r="A38" s="154">
        <v>109</v>
      </c>
      <c r="B38" s="156" t="s">
        <v>72</v>
      </c>
      <c r="C38" s="325">
        <v>68319</v>
      </c>
      <c r="D38" s="270">
        <v>8.36</v>
      </c>
      <c r="E38" s="185"/>
      <c r="G38" s="272">
        <v>45170.555979999997</v>
      </c>
      <c r="H38" s="272">
        <v>198366.95831000002</v>
      </c>
      <c r="I38" s="272"/>
      <c r="J38" s="272">
        <v>138242.19569999998</v>
      </c>
      <c r="K38" s="272">
        <v>18882.396820000002</v>
      </c>
      <c r="L38" s="272">
        <v>30020.790800000002</v>
      </c>
      <c r="M38" s="272">
        <v>187145.38331999999</v>
      </c>
      <c r="N38" s="272">
        <v>14607.552</v>
      </c>
      <c r="O38" s="272">
        <v>2562.1332699999998</v>
      </c>
      <c r="P38" s="272">
        <v>3214.9380899999996</v>
      </c>
      <c r="Q38" s="272">
        <v>6346.2636700000003</v>
      </c>
      <c r="R38" s="272">
        <v>519.68383000000006</v>
      </c>
      <c r="S38" s="272">
        <v>54589.599119999999</v>
      </c>
      <c r="U38" s="272">
        <v>23681.016589999999</v>
      </c>
      <c r="V38" s="272">
        <v>0</v>
      </c>
      <c r="W38" s="272">
        <v>2061.8490400000001</v>
      </c>
      <c r="X38" s="272">
        <v>28846.733489999999</v>
      </c>
      <c r="Y38" s="272">
        <v>-196.02626000000001</v>
      </c>
      <c r="Z38" s="272">
        <v>0</v>
      </c>
      <c r="AA38" s="272">
        <v>17000</v>
      </c>
      <c r="AB38" s="272">
        <v>12042.759749999999</v>
      </c>
      <c r="AD38" s="272">
        <v>17223.85714</v>
      </c>
      <c r="AE38" s="157">
        <v>50936.388880000006</v>
      </c>
      <c r="AF38" s="184">
        <v>-1591.3611599999999</v>
      </c>
      <c r="AG38" s="272">
        <v>-35089.469010000001</v>
      </c>
      <c r="AH38" s="272">
        <v>1230.8109999999999</v>
      </c>
      <c r="AI38" s="184">
        <v>2266.2987200000002</v>
      </c>
      <c r="AJ38" s="272">
        <v>129030.03979000001</v>
      </c>
      <c r="AL38" s="272">
        <v>240555.00461</v>
      </c>
      <c r="AM38" s="184">
        <v>435.66128999999995</v>
      </c>
      <c r="AN38" s="272">
        <v>-4734.9420399999999</v>
      </c>
      <c r="AO38" s="343">
        <v>68433</v>
      </c>
      <c r="AP38" s="332">
        <v>8.4</v>
      </c>
      <c r="AQ38" s="448"/>
      <c r="AS38" s="455">
        <v>52313.930090000002</v>
      </c>
      <c r="AT38" s="272">
        <v>201962.38719000001</v>
      </c>
      <c r="AU38" s="450"/>
      <c r="AV38" s="334">
        <v>133037.72072000001</v>
      </c>
      <c r="AW38" s="334">
        <v>18585.99454</v>
      </c>
      <c r="AX38" s="334">
        <v>30386.31307</v>
      </c>
      <c r="AY38" s="334">
        <v>182010.02833</v>
      </c>
      <c r="AZ38" s="334">
        <v>14362.799000000001</v>
      </c>
      <c r="BA38" s="272">
        <v>2811.6726699999999</v>
      </c>
      <c r="BB38" s="333">
        <v>3471.5892999999996</v>
      </c>
      <c r="BC38" s="272">
        <v>6917.7994900000003</v>
      </c>
      <c r="BD38" s="272">
        <v>758.08328000000006</v>
      </c>
      <c r="BE38" s="334">
        <v>53078.108380000005</v>
      </c>
      <c r="BG38" s="331">
        <v>30205.589940000002</v>
      </c>
      <c r="BH38" s="331">
        <v>0</v>
      </c>
      <c r="BI38" s="334">
        <v>0</v>
      </c>
      <c r="BJ38" s="334">
        <v>22872.51844</v>
      </c>
      <c r="BK38" s="334">
        <v>-195.97900000000001</v>
      </c>
      <c r="BL38" s="334">
        <v>0</v>
      </c>
      <c r="BM38" s="334">
        <v>8000</v>
      </c>
      <c r="BN38" s="334">
        <v>15068.497439999999</v>
      </c>
      <c r="BP38" s="334">
        <v>32292.354579999999</v>
      </c>
      <c r="BQ38" s="311">
        <v>44574.002860000001</v>
      </c>
      <c r="BR38" s="272">
        <v>-8504.1055199999992</v>
      </c>
      <c r="BS38" s="461">
        <v>-100924.47501000001</v>
      </c>
      <c r="BT38" s="272">
        <v>1349.7729999999999</v>
      </c>
      <c r="BU38" s="272">
        <v>36605.374459999999</v>
      </c>
      <c r="BV38" s="333">
        <v>150568.94007999997</v>
      </c>
      <c r="BX38" s="272">
        <v>282097.71512000001</v>
      </c>
      <c r="BY38" s="469">
        <v>63.446510000000004</v>
      </c>
      <c r="BZ38" s="469">
        <v>41542.710509999997</v>
      </c>
      <c r="CA38" s="552"/>
      <c r="CB38" s="335">
        <v>8.4</v>
      </c>
      <c r="CC38" s="471">
        <f t="shared" si="0"/>
        <v>8.4</v>
      </c>
      <c r="CD38" s="558"/>
      <c r="CE38" s="272"/>
      <c r="CF38" s="262"/>
      <c r="CI38" s="158">
        <v>0</v>
      </c>
      <c r="CJ38" s="331">
        <v>17614.182713325132</v>
      </c>
      <c r="CK38" s="331">
        <v>15292.527199191562</v>
      </c>
      <c r="CL38" s="331">
        <v>19692.565043736806</v>
      </c>
      <c r="CM38" s="472">
        <v>24770.739475763454</v>
      </c>
      <c r="CN38" s="472">
        <v>26076.750667453955</v>
      </c>
      <c r="CO38" s="480">
        <v>-12751.843000000001</v>
      </c>
      <c r="CP38" s="557"/>
      <c r="CQ38" s="474">
        <v>859.29111</v>
      </c>
      <c r="CR38" s="474">
        <v>853.93856999999991</v>
      </c>
    </row>
    <row r="39" spans="1:96" x14ac:dyDescent="0.2">
      <c r="A39" s="154">
        <v>139</v>
      </c>
      <c r="B39" s="156" t="s">
        <v>73</v>
      </c>
      <c r="C39" s="325">
        <v>9766</v>
      </c>
      <c r="D39" s="270">
        <v>8.86</v>
      </c>
      <c r="E39" s="185"/>
      <c r="G39" s="272">
        <v>9444.8240999999998</v>
      </c>
      <c r="H39" s="272">
        <v>40756.337509999998</v>
      </c>
      <c r="I39" s="272"/>
      <c r="J39" s="272">
        <v>16664.943650000001</v>
      </c>
      <c r="K39" s="272">
        <v>1488.5136299999999</v>
      </c>
      <c r="L39" s="272">
        <v>4884.33896</v>
      </c>
      <c r="M39" s="272">
        <v>23037.79624</v>
      </c>
      <c r="N39" s="272">
        <v>14360.138000000001</v>
      </c>
      <c r="O39" s="272">
        <v>69.368300000000005</v>
      </c>
      <c r="P39" s="272">
        <v>757.0690699999999</v>
      </c>
      <c r="Q39" s="272">
        <v>346.11028999999996</v>
      </c>
      <c r="R39" s="272">
        <v>4.8801099999999993</v>
      </c>
      <c r="S39" s="272">
        <v>5739.9502400000001</v>
      </c>
      <c r="U39" s="272">
        <v>5012.3406199999999</v>
      </c>
      <c r="V39" s="272">
        <v>0</v>
      </c>
      <c r="W39" s="272">
        <v>0</v>
      </c>
      <c r="X39" s="272">
        <v>727.60961999999995</v>
      </c>
      <c r="Y39" s="272">
        <v>-66.379530000000003</v>
      </c>
      <c r="Z39" s="272">
        <v>0</v>
      </c>
      <c r="AA39" s="272">
        <v>0</v>
      </c>
      <c r="AB39" s="272">
        <v>793.98915</v>
      </c>
      <c r="AD39" s="272">
        <v>3194.1817700000001</v>
      </c>
      <c r="AE39" s="157">
        <v>5575.8130300000003</v>
      </c>
      <c r="AF39" s="184">
        <v>-164.13720999999998</v>
      </c>
      <c r="AG39" s="272">
        <v>-4291.3879900000002</v>
      </c>
      <c r="AH39" s="272">
        <v>3.8816299999999999</v>
      </c>
      <c r="AI39" s="184">
        <v>2241.4248199999997</v>
      </c>
      <c r="AJ39" s="272">
        <v>4959.2257199999995</v>
      </c>
      <c r="AL39" s="272">
        <v>41615</v>
      </c>
      <c r="AM39" s="184">
        <v>0</v>
      </c>
      <c r="AN39" s="272">
        <v>-626</v>
      </c>
      <c r="AO39" s="343">
        <v>9806</v>
      </c>
      <c r="AP39" s="332">
        <v>8.9</v>
      </c>
      <c r="AQ39" s="448"/>
      <c r="AS39" s="455">
        <v>8911.0030299999999</v>
      </c>
      <c r="AT39" s="272">
        <v>40858.296840000003</v>
      </c>
      <c r="AU39" s="450"/>
      <c r="AV39" s="334">
        <v>16556.01514</v>
      </c>
      <c r="AW39" s="334">
        <v>1159.8190099999999</v>
      </c>
      <c r="AX39" s="334">
        <v>5064.0240700000004</v>
      </c>
      <c r="AY39" s="334">
        <v>22779.858219999998</v>
      </c>
      <c r="AZ39" s="334">
        <v>12948.984</v>
      </c>
      <c r="BA39" s="272">
        <v>66.203630000000004</v>
      </c>
      <c r="BB39" s="333">
        <v>1018.91723</v>
      </c>
      <c r="BC39" s="272">
        <v>54.829819999999998</v>
      </c>
      <c r="BD39" s="272">
        <v>2.7594699999999999</v>
      </c>
      <c r="BE39" s="334">
        <v>2880.9051600000003</v>
      </c>
      <c r="BG39" s="331">
        <v>4242.1466700000001</v>
      </c>
      <c r="BH39" s="331">
        <v>0</v>
      </c>
      <c r="BI39" s="331">
        <v>0</v>
      </c>
      <c r="BJ39" s="334">
        <v>-1361.2415100000001</v>
      </c>
      <c r="BK39" s="331">
        <v>-58.874790000000004</v>
      </c>
      <c r="BL39" s="331">
        <v>-576.83708000000001</v>
      </c>
      <c r="BM39" s="331">
        <v>0</v>
      </c>
      <c r="BN39" s="334">
        <v>-725.52963999999997</v>
      </c>
      <c r="BP39" s="334">
        <v>2468.6521299999999</v>
      </c>
      <c r="BQ39" s="311">
        <v>2668.3887799999998</v>
      </c>
      <c r="BR39" s="272">
        <v>-212.51638</v>
      </c>
      <c r="BS39" s="461">
        <v>-5357.06711</v>
      </c>
      <c r="BT39" s="272">
        <v>399.44569999999999</v>
      </c>
      <c r="BU39" s="272">
        <v>308.85628000000003</v>
      </c>
      <c r="BV39" s="333">
        <v>2794.9839099999999</v>
      </c>
      <c r="BX39" s="272">
        <v>43005</v>
      </c>
      <c r="BY39" s="469">
        <v>0</v>
      </c>
      <c r="BZ39" s="469">
        <v>1390</v>
      </c>
      <c r="CA39" s="552"/>
      <c r="CB39" s="335">
        <v>8.9</v>
      </c>
      <c r="CC39" s="471">
        <f t="shared" si="0"/>
        <v>8.9</v>
      </c>
      <c r="CD39" s="558"/>
      <c r="CE39" s="272"/>
      <c r="CF39" s="262"/>
      <c r="CI39" s="158">
        <v>0</v>
      </c>
      <c r="CJ39" s="331">
        <v>14018.869932986563</v>
      </c>
      <c r="CK39" s="331">
        <v>14483.4086372602</v>
      </c>
      <c r="CL39" s="331">
        <v>14528.302616927131</v>
      </c>
      <c r="CM39" s="472">
        <v>15229.678000369377</v>
      </c>
      <c r="CN39" s="472">
        <v>15629.850538822584</v>
      </c>
      <c r="CO39" s="480">
        <v>116.217</v>
      </c>
      <c r="CP39" s="557"/>
      <c r="CQ39" s="474">
        <v>0</v>
      </c>
      <c r="CR39" s="474">
        <v>0</v>
      </c>
    </row>
    <row r="40" spans="1:96" x14ac:dyDescent="0.2">
      <c r="A40" s="154">
        <v>140</v>
      </c>
      <c r="B40" s="156" t="s">
        <v>74</v>
      </c>
      <c r="C40" s="325">
        <v>20618</v>
      </c>
      <c r="D40" s="270">
        <v>7.86</v>
      </c>
      <c r="E40" s="185"/>
      <c r="G40" s="272">
        <v>41502.792930000003</v>
      </c>
      <c r="H40" s="272">
        <v>94706.735220000002</v>
      </c>
      <c r="I40" s="272"/>
      <c r="J40" s="272">
        <v>33351.328809999999</v>
      </c>
      <c r="K40" s="272">
        <v>5653.2475700000005</v>
      </c>
      <c r="L40" s="272">
        <v>5891.62219</v>
      </c>
      <c r="M40" s="272">
        <v>44896.19857</v>
      </c>
      <c r="N40" s="272">
        <v>23273.756000000001</v>
      </c>
      <c r="O40" s="272">
        <v>48.40043</v>
      </c>
      <c r="P40" s="272">
        <v>1697.96606</v>
      </c>
      <c r="Q40" s="272">
        <v>1826.95974</v>
      </c>
      <c r="R40" s="272">
        <v>201.98828</v>
      </c>
      <c r="S40" s="272">
        <v>14955.782730000001</v>
      </c>
      <c r="U40" s="272">
        <v>9919.9265099999993</v>
      </c>
      <c r="V40" s="272">
        <v>0</v>
      </c>
      <c r="W40" s="272">
        <v>0</v>
      </c>
      <c r="X40" s="272">
        <v>5035.8562199999997</v>
      </c>
      <c r="Y40" s="272">
        <v>747.22660999999994</v>
      </c>
      <c r="Z40" s="272">
        <v>0</v>
      </c>
      <c r="AA40" s="272">
        <v>-1304.4727800000001</v>
      </c>
      <c r="AB40" s="272">
        <v>5593.10239</v>
      </c>
      <c r="AD40" s="272">
        <v>26359.177230000001</v>
      </c>
      <c r="AE40" s="157">
        <v>17214.476500000001</v>
      </c>
      <c r="AF40" s="184">
        <v>2258.6937699999999</v>
      </c>
      <c r="AG40" s="272">
        <v>-57787.823299999996</v>
      </c>
      <c r="AH40" s="272">
        <v>364.39840000000004</v>
      </c>
      <c r="AI40" s="184">
        <v>10954.57908</v>
      </c>
      <c r="AJ40" s="272">
        <v>18876.49869</v>
      </c>
      <c r="AL40" s="272">
        <v>86955.903300000005</v>
      </c>
      <c r="AM40" s="184">
        <v>74.05628999999999</v>
      </c>
      <c r="AN40" s="272">
        <v>21294.355800000001</v>
      </c>
      <c r="AO40" s="343">
        <v>20463</v>
      </c>
      <c r="AP40" s="332">
        <v>7.9</v>
      </c>
      <c r="AQ40" s="448"/>
      <c r="AS40" s="455">
        <v>42092.58642</v>
      </c>
      <c r="AT40" s="272">
        <v>89994.669180000012</v>
      </c>
      <c r="AU40" s="450"/>
      <c r="AV40" s="334">
        <v>32259.585899999998</v>
      </c>
      <c r="AW40" s="334">
        <v>5118.4494500000001</v>
      </c>
      <c r="AX40" s="334">
        <v>5997.5910899999999</v>
      </c>
      <c r="AY40" s="334">
        <v>43375.62644</v>
      </c>
      <c r="AZ40" s="334">
        <v>21406.108</v>
      </c>
      <c r="BA40" s="272">
        <v>127.66016999999999</v>
      </c>
      <c r="BB40" s="333">
        <v>1940.28943</v>
      </c>
      <c r="BC40" s="272">
        <v>2140.7741599999999</v>
      </c>
      <c r="BD40" s="272">
        <v>144.61584999999999</v>
      </c>
      <c r="BE40" s="334">
        <v>17077.009249999999</v>
      </c>
      <c r="BG40" s="331">
        <v>10245.7104</v>
      </c>
      <c r="BH40" s="331">
        <v>0</v>
      </c>
      <c r="BI40" s="331">
        <v>0</v>
      </c>
      <c r="BJ40" s="334">
        <v>6831.2988499999992</v>
      </c>
      <c r="BK40" s="334">
        <v>738.46894999999995</v>
      </c>
      <c r="BL40" s="331">
        <v>0</v>
      </c>
      <c r="BM40" s="334">
        <v>2176.1583100000003</v>
      </c>
      <c r="BN40" s="334">
        <v>3916.6715899999999</v>
      </c>
      <c r="BP40" s="334">
        <v>30275.848819999999</v>
      </c>
      <c r="BQ40" s="311">
        <v>16528.348259999999</v>
      </c>
      <c r="BR40" s="272">
        <v>-548.66098999999997</v>
      </c>
      <c r="BS40" s="461">
        <v>-10909.563310000001</v>
      </c>
      <c r="BT40" s="272">
        <v>80.697999999999993</v>
      </c>
      <c r="BU40" s="272">
        <v>36.386540000000004</v>
      </c>
      <c r="BV40" s="333">
        <v>22245.004929999999</v>
      </c>
      <c r="BX40" s="272">
        <v>84485.7601</v>
      </c>
      <c r="BY40" s="469">
        <v>81.03</v>
      </c>
      <c r="BZ40" s="469">
        <v>-2470.1432</v>
      </c>
      <c r="CA40" s="552"/>
      <c r="CB40" s="335">
        <v>7.9</v>
      </c>
      <c r="CC40" s="471">
        <f t="shared" si="0"/>
        <v>7.9</v>
      </c>
      <c r="CD40" s="558"/>
      <c r="CE40" s="272"/>
      <c r="CF40" s="262"/>
      <c r="CI40" s="158">
        <v>0</v>
      </c>
      <c r="CJ40" s="331">
        <v>22905.082106206577</v>
      </c>
      <c r="CK40" s="331">
        <v>22251.775433548253</v>
      </c>
      <c r="CL40" s="331">
        <v>22909.02996636317</v>
      </c>
      <c r="CM40" s="472">
        <v>24048.43980148925</v>
      </c>
      <c r="CN40" s="472">
        <v>24229.999304349458</v>
      </c>
      <c r="CO40" s="480">
        <v>-1016.332</v>
      </c>
      <c r="CP40" s="557"/>
      <c r="CQ40" s="474">
        <v>14.36462</v>
      </c>
      <c r="CR40" s="474">
        <v>13.828520000000001</v>
      </c>
    </row>
    <row r="41" spans="1:96" x14ac:dyDescent="0.2">
      <c r="A41" s="154">
        <v>142</v>
      </c>
      <c r="B41" s="156" t="s">
        <v>75</v>
      </c>
      <c r="C41" s="325">
        <v>6444</v>
      </c>
      <c r="D41" s="270">
        <v>8.61</v>
      </c>
      <c r="E41" s="185"/>
      <c r="G41" s="272">
        <v>3419.59238</v>
      </c>
      <c r="H41" s="272">
        <v>19886.739420000002</v>
      </c>
      <c r="I41" s="272"/>
      <c r="J41" s="272">
        <v>11023.381089999999</v>
      </c>
      <c r="K41" s="272">
        <v>1138.09492</v>
      </c>
      <c r="L41" s="272">
        <v>3351.0586899999998</v>
      </c>
      <c r="M41" s="272">
        <v>15512.5347</v>
      </c>
      <c r="N41" s="272">
        <v>3999.1840000000002</v>
      </c>
      <c r="O41" s="272">
        <v>231.51248000000001</v>
      </c>
      <c r="P41" s="272">
        <v>71.74418</v>
      </c>
      <c r="Q41" s="272">
        <v>134.98292999999998</v>
      </c>
      <c r="R41" s="272">
        <v>2.6561500000000002</v>
      </c>
      <c r="S41" s="272">
        <v>3336.6667400000001</v>
      </c>
      <c r="U41" s="272">
        <v>2456.37131</v>
      </c>
      <c r="V41" s="272">
        <v>0</v>
      </c>
      <c r="W41" s="272">
        <v>0</v>
      </c>
      <c r="X41" s="272">
        <v>880.29543000000001</v>
      </c>
      <c r="Y41" s="272">
        <v>-69.828679999999991</v>
      </c>
      <c r="Z41" s="272">
        <v>0</v>
      </c>
      <c r="AA41" s="272">
        <v>0</v>
      </c>
      <c r="AB41" s="272">
        <v>950.12410999999997</v>
      </c>
      <c r="AD41" s="272">
        <v>8165.3389299999999</v>
      </c>
      <c r="AE41" s="157">
        <v>3214.72579</v>
      </c>
      <c r="AF41" s="184">
        <v>-121.94095</v>
      </c>
      <c r="AG41" s="272">
        <v>-2343.74073</v>
      </c>
      <c r="AH41" s="272">
        <v>15</v>
      </c>
      <c r="AI41" s="184">
        <v>771.59749999999997</v>
      </c>
      <c r="AJ41" s="272">
        <v>9673.8963999999996</v>
      </c>
      <c r="AL41" s="272">
        <v>5313.7860000000001</v>
      </c>
      <c r="AM41" s="184">
        <v>-301.81299999999999</v>
      </c>
      <c r="AN41" s="272">
        <v>-610.77300000000002</v>
      </c>
      <c r="AO41" s="343">
        <v>6401</v>
      </c>
      <c r="AP41" s="332">
        <v>8.6</v>
      </c>
      <c r="AQ41" s="448"/>
      <c r="AS41" s="455">
        <v>4059.8138799999997</v>
      </c>
      <c r="AT41" s="272">
        <v>20958.220329999996</v>
      </c>
      <c r="AU41" s="450"/>
      <c r="AV41" s="334">
        <v>10921.95369</v>
      </c>
      <c r="AW41" s="334">
        <v>890.10424999999998</v>
      </c>
      <c r="AX41" s="334">
        <v>3488.5252099999998</v>
      </c>
      <c r="AY41" s="334">
        <v>15300.58315</v>
      </c>
      <c r="AZ41" s="334">
        <v>3886.3490000000002</v>
      </c>
      <c r="BA41" s="272">
        <v>223.42925</v>
      </c>
      <c r="BB41" s="333">
        <v>134.24079</v>
      </c>
      <c r="BC41" s="272">
        <v>253.47685999999999</v>
      </c>
      <c r="BD41" s="272">
        <v>4.6276400000000004</v>
      </c>
      <c r="BE41" s="334">
        <v>2626.5633800000001</v>
      </c>
      <c r="BG41" s="331">
        <v>1772.4076499999999</v>
      </c>
      <c r="BH41" s="331">
        <v>0</v>
      </c>
      <c r="BI41" s="331">
        <v>858.19070999999997</v>
      </c>
      <c r="BJ41" s="334">
        <v>-4.03498</v>
      </c>
      <c r="BK41" s="334">
        <v>-69.828679999999991</v>
      </c>
      <c r="BL41" s="331">
        <v>0</v>
      </c>
      <c r="BM41" s="331">
        <v>0</v>
      </c>
      <c r="BN41" s="334">
        <v>65.793700000000001</v>
      </c>
      <c r="BP41" s="334">
        <v>8231.1326300000001</v>
      </c>
      <c r="BQ41" s="311">
        <v>1761.34617</v>
      </c>
      <c r="BR41" s="272">
        <v>-7.0265000000000004</v>
      </c>
      <c r="BS41" s="461">
        <v>-9498.8955999999998</v>
      </c>
      <c r="BT41" s="272">
        <v>84.05</v>
      </c>
      <c r="BU41" s="272">
        <v>3140.299</v>
      </c>
      <c r="BV41" s="333">
        <v>6561.1688199999999</v>
      </c>
      <c r="BX41" s="272">
        <v>4700.1360000000004</v>
      </c>
      <c r="BY41" s="469">
        <v>262.27353999999997</v>
      </c>
      <c r="BZ41" s="469">
        <v>871.29730000000006</v>
      </c>
      <c r="CA41" s="552"/>
      <c r="CB41" s="335">
        <v>8.6</v>
      </c>
      <c r="CC41" s="471">
        <f t="shared" si="0"/>
        <v>8.6</v>
      </c>
      <c r="CD41" s="558"/>
      <c r="CE41" s="272"/>
      <c r="CF41" s="262"/>
      <c r="CI41" s="158">
        <v>0</v>
      </c>
      <c r="CJ41" s="331">
        <v>4299.3700474053867</v>
      </c>
      <c r="CK41" s="331">
        <v>4144.9666093101459</v>
      </c>
      <c r="CL41" s="331">
        <v>4448.748608245688</v>
      </c>
      <c r="CM41" s="472">
        <v>5032.8085767719895</v>
      </c>
      <c r="CN41" s="472">
        <v>5395.9842879434837</v>
      </c>
      <c r="CO41" s="480">
        <v>-642.49599999999998</v>
      </c>
      <c r="CP41" s="557"/>
      <c r="CQ41" s="474">
        <v>0</v>
      </c>
      <c r="CR41" s="474">
        <v>0</v>
      </c>
    </row>
    <row r="42" spans="1:96" x14ac:dyDescent="0.2">
      <c r="A42" s="154">
        <v>143</v>
      </c>
      <c r="B42" s="156" t="s">
        <v>76</v>
      </c>
      <c r="C42" s="325">
        <v>6850</v>
      </c>
      <c r="D42" s="270">
        <v>9.36</v>
      </c>
      <c r="E42" s="185"/>
      <c r="G42" s="272">
        <v>5136.9696299999996</v>
      </c>
      <c r="H42" s="272">
        <v>22409.167109999999</v>
      </c>
      <c r="I42" s="272"/>
      <c r="J42" s="272">
        <v>11507.89084</v>
      </c>
      <c r="K42" s="272">
        <v>1868.3668300000002</v>
      </c>
      <c r="L42" s="272">
        <v>2867.6910099999996</v>
      </c>
      <c r="M42" s="272">
        <v>16243.94868</v>
      </c>
      <c r="N42" s="272">
        <v>3842.7570000000001</v>
      </c>
      <c r="O42" s="272">
        <v>29.258759999999999</v>
      </c>
      <c r="P42" s="272">
        <v>569.70943</v>
      </c>
      <c r="Q42" s="272">
        <v>86.247119999999995</v>
      </c>
      <c r="R42" s="272">
        <v>7.1924899999999994</v>
      </c>
      <c r="S42" s="272">
        <v>2353.1121600000001</v>
      </c>
      <c r="U42" s="272">
        <v>3600.7882599999998</v>
      </c>
      <c r="V42" s="272">
        <v>0</v>
      </c>
      <c r="W42" s="272">
        <v>0</v>
      </c>
      <c r="X42" s="272">
        <v>-1247.6761000000001</v>
      </c>
      <c r="Y42" s="272">
        <v>0</v>
      </c>
      <c r="Z42" s="272">
        <v>0</v>
      </c>
      <c r="AA42" s="272">
        <v>0</v>
      </c>
      <c r="AB42" s="272">
        <v>-1247.6761000000001</v>
      </c>
      <c r="AD42" s="272">
        <v>-880.23727000000008</v>
      </c>
      <c r="AE42" s="157">
        <v>2134.6372000000001</v>
      </c>
      <c r="AF42" s="184">
        <v>-476.99940000000004</v>
      </c>
      <c r="AG42" s="272">
        <v>-2127.7772</v>
      </c>
      <c r="AH42" s="272">
        <v>0</v>
      </c>
      <c r="AI42" s="184">
        <v>0</v>
      </c>
      <c r="AJ42" s="272">
        <v>441.3109</v>
      </c>
      <c r="AL42" s="272">
        <v>27000</v>
      </c>
      <c r="AM42" s="184">
        <v>0</v>
      </c>
      <c r="AN42" s="272">
        <v>0.59099999999999997</v>
      </c>
      <c r="AO42" s="343">
        <v>6758</v>
      </c>
      <c r="AP42" s="332">
        <v>9.4</v>
      </c>
      <c r="AQ42" s="448"/>
      <c r="AS42" s="455">
        <v>5415.5167300000003</v>
      </c>
      <c r="AT42" s="272">
        <v>21305.769820000001</v>
      </c>
      <c r="AU42" s="450"/>
      <c r="AV42" s="334">
        <v>12119.154869999998</v>
      </c>
      <c r="AW42" s="334">
        <v>1768.62986</v>
      </c>
      <c r="AX42" s="334">
        <v>2939.7429999999999</v>
      </c>
      <c r="AY42" s="334">
        <v>16827.527730000002</v>
      </c>
      <c r="AZ42" s="334">
        <v>3500.8249999999998</v>
      </c>
      <c r="BA42" s="272">
        <v>26.510830000000002</v>
      </c>
      <c r="BB42" s="333">
        <v>717.61158999999998</v>
      </c>
      <c r="BC42" s="272">
        <v>67.006559999999993</v>
      </c>
      <c r="BD42" s="272">
        <v>87.277609999999996</v>
      </c>
      <c r="BE42" s="334">
        <v>3726.7278300000003</v>
      </c>
      <c r="BG42" s="331">
        <v>2266.8384799999999</v>
      </c>
      <c r="BH42" s="331">
        <v>0</v>
      </c>
      <c r="BI42" s="331">
        <v>0</v>
      </c>
      <c r="BJ42" s="334">
        <v>1459.8893500000001</v>
      </c>
      <c r="BK42" s="334">
        <v>-3.0161799999999999</v>
      </c>
      <c r="BL42" s="331">
        <v>0</v>
      </c>
      <c r="BM42" s="331">
        <v>0</v>
      </c>
      <c r="BN42" s="334">
        <v>1462.90553</v>
      </c>
      <c r="BP42" s="334">
        <v>582.66826000000003</v>
      </c>
      <c r="BQ42" s="311">
        <v>3748.4531899999997</v>
      </c>
      <c r="BR42" s="272">
        <v>21.725360000000002</v>
      </c>
      <c r="BS42" s="461">
        <v>-1619.33554</v>
      </c>
      <c r="BT42" s="272">
        <v>48.198</v>
      </c>
      <c r="BU42" s="272">
        <v>22.858419999999999</v>
      </c>
      <c r="BV42" s="333">
        <v>1237.24559</v>
      </c>
      <c r="BX42" s="272">
        <v>25500</v>
      </c>
      <c r="BY42" s="469">
        <v>0</v>
      </c>
      <c r="BZ42" s="469">
        <v>-1500</v>
      </c>
      <c r="CA42" s="552"/>
      <c r="CB42" s="335">
        <v>9.9</v>
      </c>
      <c r="CC42" s="471">
        <f t="shared" si="0"/>
        <v>9.9</v>
      </c>
      <c r="CD42" s="558"/>
      <c r="CE42" s="272"/>
      <c r="CF42" s="262"/>
      <c r="CI42" s="158">
        <v>0</v>
      </c>
      <c r="CJ42" s="331">
        <v>3612.436527831544</v>
      </c>
      <c r="CK42" s="331">
        <v>3788.0200864360136</v>
      </c>
      <c r="CL42" s="331">
        <v>2814.7449674777818</v>
      </c>
      <c r="CM42" s="472">
        <v>3109.0355978279749</v>
      </c>
      <c r="CN42" s="472">
        <v>3039.5665538578896</v>
      </c>
      <c r="CO42" s="480">
        <v>-875.471</v>
      </c>
      <c r="CP42" s="557"/>
      <c r="CQ42" s="474">
        <v>0</v>
      </c>
      <c r="CR42" s="474">
        <v>0</v>
      </c>
    </row>
    <row r="43" spans="1:96" x14ac:dyDescent="0.2">
      <c r="A43" s="154">
        <v>145</v>
      </c>
      <c r="B43" s="156" t="s">
        <v>77</v>
      </c>
      <c r="C43" s="325">
        <v>12343</v>
      </c>
      <c r="D43" s="270">
        <v>8.36</v>
      </c>
      <c r="E43" s="185"/>
      <c r="G43" s="272">
        <v>9939.4604600000002</v>
      </c>
      <c r="H43" s="272">
        <v>44791.46153</v>
      </c>
      <c r="I43" s="272"/>
      <c r="J43" s="272">
        <v>21226.908780000002</v>
      </c>
      <c r="K43" s="272">
        <v>1929.13627</v>
      </c>
      <c r="L43" s="272">
        <v>3009.0271499999999</v>
      </c>
      <c r="M43" s="272">
        <v>26165.072199999999</v>
      </c>
      <c r="N43" s="272">
        <v>15829.194</v>
      </c>
      <c r="O43" s="272">
        <v>61.084000000000003</v>
      </c>
      <c r="P43" s="272">
        <v>1479.69382</v>
      </c>
      <c r="Q43" s="272">
        <v>105.91344000000001</v>
      </c>
      <c r="R43" s="272">
        <v>48.188360000000003</v>
      </c>
      <c r="S43" s="272">
        <v>5883.6635999999999</v>
      </c>
      <c r="U43" s="272">
        <v>5373.7398300000004</v>
      </c>
      <c r="V43" s="272">
        <v>0</v>
      </c>
      <c r="W43" s="272">
        <v>0</v>
      </c>
      <c r="X43" s="272">
        <v>509.92376999999999</v>
      </c>
      <c r="Y43" s="272">
        <v>0</v>
      </c>
      <c r="Z43" s="272">
        <v>0</v>
      </c>
      <c r="AA43" s="272">
        <v>0</v>
      </c>
      <c r="AB43" s="272">
        <v>509.92376999999999</v>
      </c>
      <c r="AD43" s="272">
        <v>4250.8643599999996</v>
      </c>
      <c r="AE43" s="157">
        <v>5949.8407200000001</v>
      </c>
      <c r="AF43" s="184">
        <v>66.177120000000002</v>
      </c>
      <c r="AG43" s="272">
        <v>-5191.2521200000001</v>
      </c>
      <c r="AH43" s="272">
        <v>0</v>
      </c>
      <c r="AI43" s="184">
        <v>143.45599999999999</v>
      </c>
      <c r="AJ43" s="272">
        <v>2489.0713799999999</v>
      </c>
      <c r="AL43" s="272">
        <v>66770.265280000007</v>
      </c>
      <c r="AM43" s="184">
        <v>75.922850000000011</v>
      </c>
      <c r="AN43" s="272">
        <v>1005.8741199999999</v>
      </c>
      <c r="AO43" s="343">
        <v>12429</v>
      </c>
      <c r="AP43" s="332">
        <v>8.4</v>
      </c>
      <c r="AQ43" s="448"/>
      <c r="AS43" s="455">
        <v>10306.555179999999</v>
      </c>
      <c r="AT43" s="272">
        <v>43626.404130000003</v>
      </c>
      <c r="AU43" s="450"/>
      <c r="AV43" s="334">
        <v>21185.023730000001</v>
      </c>
      <c r="AW43" s="334">
        <v>1406.28343</v>
      </c>
      <c r="AX43" s="334">
        <v>3266.3619600000002</v>
      </c>
      <c r="AY43" s="334">
        <v>25857.669120000002</v>
      </c>
      <c r="AZ43" s="334">
        <v>13766.195</v>
      </c>
      <c r="BA43" s="272">
        <v>98.577830000000006</v>
      </c>
      <c r="BB43" s="333">
        <v>1666.81729</v>
      </c>
      <c r="BC43" s="272">
        <v>139.05099999999999</v>
      </c>
      <c r="BD43" s="272">
        <v>18.831189999999999</v>
      </c>
      <c r="BE43" s="334">
        <v>4880.6700799999999</v>
      </c>
      <c r="BG43" s="331">
        <v>4632.7770700000001</v>
      </c>
      <c r="BH43" s="334">
        <v>0</v>
      </c>
      <c r="BI43" s="334">
        <v>0</v>
      </c>
      <c r="BJ43" s="334">
        <v>247.89301</v>
      </c>
      <c r="BK43" s="331">
        <v>0</v>
      </c>
      <c r="BL43" s="331">
        <v>0</v>
      </c>
      <c r="BM43" s="331">
        <v>0</v>
      </c>
      <c r="BN43" s="334">
        <v>247.89301</v>
      </c>
      <c r="BP43" s="334">
        <v>4498.7573700000003</v>
      </c>
      <c r="BQ43" s="311">
        <v>4637.37565</v>
      </c>
      <c r="BR43" s="272">
        <v>-243.29443000000001</v>
      </c>
      <c r="BS43" s="461">
        <v>-3289.2732900000001</v>
      </c>
      <c r="BT43" s="272">
        <v>42.4</v>
      </c>
      <c r="BU43" s="272">
        <v>392.58600000000001</v>
      </c>
      <c r="BV43" s="333">
        <v>1025.3734200000001</v>
      </c>
      <c r="BX43" s="272">
        <v>64334.569510000008</v>
      </c>
      <c r="BY43" s="469">
        <v>144.44149999999999</v>
      </c>
      <c r="BZ43" s="469">
        <v>-2435.6957699999998</v>
      </c>
      <c r="CA43" s="552"/>
      <c r="CB43" s="335">
        <v>9.1999999999999993</v>
      </c>
      <c r="CC43" s="471">
        <f t="shared" si="0"/>
        <v>9.1999999999999993</v>
      </c>
      <c r="CD43" s="558"/>
      <c r="CE43" s="272"/>
      <c r="CF43" s="262"/>
      <c r="CI43" s="158">
        <v>0</v>
      </c>
      <c r="CJ43" s="331">
        <v>14675.647804198412</v>
      </c>
      <c r="CK43" s="331">
        <v>14944.550885410144</v>
      </c>
      <c r="CL43" s="331">
        <v>14027.495653943257</v>
      </c>
      <c r="CM43" s="472">
        <v>14927.319388528414</v>
      </c>
      <c r="CN43" s="472">
        <v>15584.744784171875</v>
      </c>
      <c r="CO43" s="480">
        <v>-418.18</v>
      </c>
      <c r="CP43" s="557"/>
      <c r="CQ43" s="474">
        <v>102.28321000000001</v>
      </c>
      <c r="CR43" s="474">
        <v>24.67456</v>
      </c>
    </row>
    <row r="44" spans="1:96" x14ac:dyDescent="0.2">
      <c r="A44" s="154">
        <v>146</v>
      </c>
      <c r="B44" s="156" t="s">
        <v>78</v>
      </c>
      <c r="C44" s="325">
        <v>4406</v>
      </c>
      <c r="D44" s="270">
        <v>8.36</v>
      </c>
      <c r="E44" s="185"/>
      <c r="G44" s="272">
        <v>3261.5142299999998</v>
      </c>
      <c r="H44" s="272">
        <v>15895.699269999999</v>
      </c>
      <c r="I44" s="272"/>
      <c r="J44" s="272">
        <v>6335.32161</v>
      </c>
      <c r="K44" s="272">
        <v>2605.22912</v>
      </c>
      <c r="L44" s="272">
        <v>1577.95607</v>
      </c>
      <c r="M44" s="272">
        <v>10518.506800000001</v>
      </c>
      <c r="N44" s="272">
        <v>4989.3</v>
      </c>
      <c r="O44" s="272">
        <v>7.08406</v>
      </c>
      <c r="P44" s="272">
        <v>372.59590999999995</v>
      </c>
      <c r="Q44" s="272">
        <v>581.34032999999999</v>
      </c>
      <c r="R44" s="272">
        <v>5.1094300000000006</v>
      </c>
      <c r="S44" s="272">
        <v>3139.0316699999998</v>
      </c>
      <c r="U44" s="272">
        <v>1368.90463</v>
      </c>
      <c r="V44" s="272">
        <v>0</v>
      </c>
      <c r="W44" s="272">
        <v>0</v>
      </c>
      <c r="X44" s="272">
        <v>1770.1270400000001</v>
      </c>
      <c r="Y44" s="272">
        <v>-10.5562</v>
      </c>
      <c r="Z44" s="272">
        <v>0</v>
      </c>
      <c r="AA44" s="272">
        <v>0</v>
      </c>
      <c r="AB44" s="272">
        <v>1780.6832400000001</v>
      </c>
      <c r="AD44" s="272">
        <v>9511.7658300000003</v>
      </c>
      <c r="AE44" s="157">
        <v>3134.0326700000001</v>
      </c>
      <c r="AF44" s="184">
        <v>-4.9989999999999997</v>
      </c>
      <c r="AG44" s="272">
        <v>-311.92134999999996</v>
      </c>
      <c r="AH44" s="272">
        <v>0</v>
      </c>
      <c r="AI44" s="184">
        <v>35</v>
      </c>
      <c r="AJ44" s="272">
        <v>10280.872619999998</v>
      </c>
      <c r="AL44" s="272">
        <v>5749.1221000000005</v>
      </c>
      <c r="AM44" s="184">
        <v>0</v>
      </c>
      <c r="AN44" s="272">
        <v>-1131.2138400000001</v>
      </c>
      <c r="AO44" s="343">
        <v>4382</v>
      </c>
      <c r="AP44" s="332">
        <v>8.3999999999999986</v>
      </c>
      <c r="AQ44" s="448"/>
      <c r="AS44" s="455">
        <v>3906.75747</v>
      </c>
      <c r="AT44" s="272">
        <v>15663.24944</v>
      </c>
      <c r="AU44" s="450"/>
      <c r="AV44" s="334">
        <v>6410.7323799999995</v>
      </c>
      <c r="AW44" s="334">
        <v>2498.2505699999997</v>
      </c>
      <c r="AX44" s="334">
        <v>1690.9738500000001</v>
      </c>
      <c r="AY44" s="334">
        <v>10599.9568</v>
      </c>
      <c r="AZ44" s="334">
        <v>3711.105</v>
      </c>
      <c r="BA44" s="272">
        <v>6.6136299999999997</v>
      </c>
      <c r="BB44" s="333">
        <v>393.40821</v>
      </c>
      <c r="BC44" s="272">
        <v>361.99982</v>
      </c>
      <c r="BD44" s="272">
        <v>6.9640300000000002</v>
      </c>
      <c r="BE44" s="334">
        <v>2556.5799300000003</v>
      </c>
      <c r="BG44" s="331">
        <v>1064.55412</v>
      </c>
      <c r="BH44" s="331">
        <v>0</v>
      </c>
      <c r="BI44" s="331">
        <v>0</v>
      </c>
      <c r="BJ44" s="334">
        <v>1492.0258100000001</v>
      </c>
      <c r="BK44" s="334">
        <v>-10.585120000000002</v>
      </c>
      <c r="BL44" s="331">
        <v>0</v>
      </c>
      <c r="BM44" s="334">
        <v>0</v>
      </c>
      <c r="BN44" s="334">
        <v>1502.6109299999998</v>
      </c>
      <c r="BP44" s="334">
        <v>11014.376759999999</v>
      </c>
      <c r="BQ44" s="311">
        <v>2577.75794</v>
      </c>
      <c r="BR44" s="272">
        <v>21.178009999999997</v>
      </c>
      <c r="BS44" s="461">
        <v>-366.57815000000005</v>
      </c>
      <c r="BT44" s="272">
        <v>0</v>
      </c>
      <c r="BU44" s="272">
        <v>15.047000000000001</v>
      </c>
      <c r="BV44" s="333">
        <v>11537.414449999998</v>
      </c>
      <c r="BX44" s="272">
        <v>4617.6180000000004</v>
      </c>
      <c r="BY44" s="469">
        <v>-7.33</v>
      </c>
      <c r="BZ44" s="469">
        <v>-1131.5041000000001</v>
      </c>
      <c r="CA44" s="552"/>
      <c r="CB44" s="335">
        <v>8.6</v>
      </c>
      <c r="CC44" s="471">
        <f t="shared" si="0"/>
        <v>8.6</v>
      </c>
      <c r="CD44" s="558"/>
      <c r="CE44" s="272"/>
      <c r="CF44" s="262"/>
      <c r="CI44" s="158">
        <v>0</v>
      </c>
      <c r="CJ44" s="331">
        <v>4247.7394599212666</v>
      </c>
      <c r="CK44" s="331">
        <v>4007.3527847873656</v>
      </c>
      <c r="CL44" s="331">
        <v>4148.5246601446661</v>
      </c>
      <c r="CM44" s="472">
        <v>4492.705125335412</v>
      </c>
      <c r="CN44" s="472">
        <v>4583.9381355018168</v>
      </c>
      <c r="CO44" s="480">
        <v>-257.61700000000002</v>
      </c>
      <c r="CP44" s="557"/>
      <c r="CQ44" s="474">
        <v>54.690860000000001</v>
      </c>
      <c r="CR44" s="474">
        <v>33.768889999999999</v>
      </c>
    </row>
    <row r="45" spans="1:96" x14ac:dyDescent="0.2">
      <c r="A45" s="154">
        <v>153</v>
      </c>
      <c r="B45" s="156" t="s">
        <v>79</v>
      </c>
      <c r="C45" s="325">
        <v>24919</v>
      </c>
      <c r="D45" s="270">
        <v>7.3599999999999994</v>
      </c>
      <c r="E45" s="185"/>
      <c r="G45" s="272">
        <v>20739.757440000001</v>
      </c>
      <c r="H45" s="272">
        <v>84476.148819999988</v>
      </c>
      <c r="I45" s="272"/>
      <c r="J45" s="272">
        <v>42575.796539999996</v>
      </c>
      <c r="K45" s="272">
        <v>4054.7060299999998</v>
      </c>
      <c r="L45" s="272">
        <v>11943.088960000001</v>
      </c>
      <c r="M45" s="272">
        <v>58573.591529999998</v>
      </c>
      <c r="N45" s="272">
        <v>23599.267469999999</v>
      </c>
      <c r="O45" s="272">
        <v>567.48898999999994</v>
      </c>
      <c r="P45" s="272">
        <v>1851.86727</v>
      </c>
      <c r="Q45" s="272">
        <v>348.74365</v>
      </c>
      <c r="R45" s="272">
        <v>6.9395299999999995</v>
      </c>
      <c r="S45" s="272">
        <v>17538.83944</v>
      </c>
      <c r="U45" s="272">
        <v>12667.895849999999</v>
      </c>
      <c r="V45" s="272">
        <v>0</v>
      </c>
      <c r="W45" s="272">
        <v>348.23493000000002</v>
      </c>
      <c r="X45" s="272">
        <v>4522.7086600000002</v>
      </c>
      <c r="Y45" s="272">
        <v>0</v>
      </c>
      <c r="Z45" s="272">
        <v>0</v>
      </c>
      <c r="AA45" s="272">
        <v>-17.465630000000001</v>
      </c>
      <c r="AB45" s="272">
        <v>4540.1742899999999</v>
      </c>
      <c r="AD45" s="272">
        <v>68990.626749999996</v>
      </c>
      <c r="AE45" s="157">
        <v>17089.90294</v>
      </c>
      <c r="AF45" s="184">
        <v>-100.70157</v>
      </c>
      <c r="AG45" s="272">
        <v>-22951.418829999999</v>
      </c>
      <c r="AH45" s="272">
        <v>4782.5838899999999</v>
      </c>
      <c r="AI45" s="184">
        <v>625.63442000000009</v>
      </c>
      <c r="AJ45" s="272">
        <v>6371.8825099999995</v>
      </c>
      <c r="AL45" s="272">
        <v>129087.36629999999</v>
      </c>
      <c r="AM45" s="184">
        <v>-1018.725</v>
      </c>
      <c r="AN45" s="272">
        <v>10288.861999999999</v>
      </c>
      <c r="AO45" s="343">
        <v>24724</v>
      </c>
      <c r="AP45" s="332">
        <v>8.6</v>
      </c>
      <c r="AQ45" s="448"/>
      <c r="AS45" s="455">
        <v>18652.481760000002</v>
      </c>
      <c r="AT45" s="272">
        <v>85451.198930000013</v>
      </c>
      <c r="AU45" s="450"/>
      <c r="AV45" s="334">
        <v>46726.033649999998</v>
      </c>
      <c r="AW45" s="334">
        <v>4386.48117</v>
      </c>
      <c r="AX45" s="334">
        <v>12276.25261</v>
      </c>
      <c r="AY45" s="334">
        <v>63388.76743</v>
      </c>
      <c r="AZ45" s="334">
        <v>17520.561530000003</v>
      </c>
      <c r="BA45" s="272">
        <v>713.34523000000002</v>
      </c>
      <c r="BB45" s="333">
        <v>2572.4510800000003</v>
      </c>
      <c r="BC45" s="272">
        <v>1153.5304699999999</v>
      </c>
      <c r="BD45" s="272">
        <v>21.670060000000003</v>
      </c>
      <c r="BE45" s="334">
        <v>13442.808590000001</v>
      </c>
      <c r="BG45" s="331">
        <v>10303.99941</v>
      </c>
      <c r="BH45" s="331">
        <v>0</v>
      </c>
      <c r="BI45" s="331">
        <v>0</v>
      </c>
      <c r="BJ45" s="334">
        <v>3138.8091800000002</v>
      </c>
      <c r="BK45" s="334">
        <v>0</v>
      </c>
      <c r="BL45" s="334">
        <v>0</v>
      </c>
      <c r="BM45" s="331">
        <v>0</v>
      </c>
      <c r="BN45" s="334">
        <v>3138.8091800000002</v>
      </c>
      <c r="BP45" s="334">
        <v>72129.435930000007</v>
      </c>
      <c r="BQ45" s="311">
        <v>13483.60075</v>
      </c>
      <c r="BR45" s="272">
        <v>40.792160000000003</v>
      </c>
      <c r="BS45" s="461">
        <v>-12775.0376</v>
      </c>
      <c r="BT45" s="272">
        <v>584.19189000000006</v>
      </c>
      <c r="BU45" s="272">
        <v>927.59799999999996</v>
      </c>
      <c r="BV45" s="333">
        <v>6620.7302099999997</v>
      </c>
      <c r="BX45" s="272">
        <v>126509.7283</v>
      </c>
      <c r="BY45" s="469">
        <v>-12238.54614</v>
      </c>
      <c r="BZ45" s="469">
        <v>-2577.6379999999999</v>
      </c>
      <c r="CA45" s="552"/>
      <c r="CB45" s="335">
        <v>8.6</v>
      </c>
      <c r="CC45" s="471">
        <f t="shared" si="0"/>
        <v>8.6</v>
      </c>
      <c r="CD45" s="558"/>
      <c r="CE45" s="272"/>
      <c r="CF45" s="262"/>
      <c r="CI45" s="158">
        <v>0</v>
      </c>
      <c r="CJ45" s="331">
        <v>21394.231101272624</v>
      </c>
      <c r="CK45" s="331">
        <v>20987.920522751559</v>
      </c>
      <c r="CL45" s="331">
        <v>22094.612975273005</v>
      </c>
      <c r="CM45" s="472">
        <v>23152.026500391901</v>
      </c>
      <c r="CN45" s="472">
        <v>23322.624943828436</v>
      </c>
      <c r="CO45" s="480">
        <v>418.53899999999999</v>
      </c>
      <c r="CP45" s="557"/>
      <c r="CQ45" s="474">
        <v>44.945980000000006</v>
      </c>
      <c r="CR45" s="474">
        <v>59.442239999999998</v>
      </c>
    </row>
    <row r="46" spans="1:96" x14ac:dyDescent="0.2">
      <c r="A46" s="154">
        <v>148</v>
      </c>
      <c r="B46" s="156" t="s">
        <v>80</v>
      </c>
      <c r="C46" s="325">
        <v>7127</v>
      </c>
      <c r="D46" s="270">
        <v>6.36</v>
      </c>
      <c r="E46" s="185"/>
      <c r="G46" s="272">
        <v>7981.2244700000001</v>
      </c>
      <c r="H46" s="272">
        <v>32972.660129999997</v>
      </c>
      <c r="I46" s="272"/>
      <c r="J46" s="272">
        <v>11132.32</v>
      </c>
      <c r="K46" s="272">
        <v>2391.0464200000001</v>
      </c>
      <c r="L46" s="272">
        <v>5259.2371399999993</v>
      </c>
      <c r="M46" s="272">
        <v>18782.60356</v>
      </c>
      <c r="N46" s="272">
        <v>10145.673000000001</v>
      </c>
      <c r="O46" s="272">
        <v>167.46064999999999</v>
      </c>
      <c r="P46" s="272">
        <v>166.09984</v>
      </c>
      <c r="Q46" s="272">
        <v>1010.72549</v>
      </c>
      <c r="R46" s="272">
        <v>97.988579999999999</v>
      </c>
      <c r="S46" s="272">
        <v>4850.9386199999999</v>
      </c>
      <c r="U46" s="272">
        <v>2616.2047000000002</v>
      </c>
      <c r="V46" s="272">
        <v>0</v>
      </c>
      <c r="W46" s="272">
        <v>0</v>
      </c>
      <c r="X46" s="272">
        <v>2234.7339200000001</v>
      </c>
      <c r="Y46" s="272">
        <v>0</v>
      </c>
      <c r="Z46" s="272">
        <v>0</v>
      </c>
      <c r="AA46" s="272">
        <v>-117.45277</v>
      </c>
      <c r="AB46" s="272">
        <v>2352.18669</v>
      </c>
      <c r="AD46" s="272">
        <v>21262.063479999997</v>
      </c>
      <c r="AE46" s="157">
        <v>3861.06736</v>
      </c>
      <c r="AF46" s="184">
        <v>-989.87126000000001</v>
      </c>
      <c r="AG46" s="272">
        <v>-2994.1000899999999</v>
      </c>
      <c r="AH46" s="272">
        <v>0</v>
      </c>
      <c r="AI46" s="184">
        <v>1112.42875</v>
      </c>
      <c r="AJ46" s="272">
        <v>12443.90143</v>
      </c>
      <c r="AL46" s="272">
        <v>10159.05917</v>
      </c>
      <c r="AM46" s="184">
        <v>852.54029000000003</v>
      </c>
      <c r="AN46" s="272">
        <v>-984.19011999999998</v>
      </c>
      <c r="AO46" s="343">
        <v>7224</v>
      </c>
      <c r="AP46" s="332">
        <v>6.4</v>
      </c>
      <c r="AQ46" s="448"/>
      <c r="AS46" s="455">
        <v>7442.5558300000002</v>
      </c>
      <c r="AT46" s="272">
        <v>33746.3148</v>
      </c>
      <c r="AU46" s="450"/>
      <c r="AV46" s="334">
        <v>10571.10737</v>
      </c>
      <c r="AW46" s="334">
        <v>1959.63156</v>
      </c>
      <c r="AX46" s="334">
        <v>5519.3160900000003</v>
      </c>
      <c r="AY46" s="334">
        <v>18050.05502</v>
      </c>
      <c r="AZ46" s="334">
        <v>11374.16041</v>
      </c>
      <c r="BA46" s="272">
        <v>131.81831</v>
      </c>
      <c r="BB46" s="333">
        <v>165.07118</v>
      </c>
      <c r="BC46" s="272">
        <v>710.74916000000007</v>
      </c>
      <c r="BD46" s="272">
        <v>113.25141000000001</v>
      </c>
      <c r="BE46" s="334">
        <v>3684.7013400000001</v>
      </c>
      <c r="BG46" s="331">
        <v>3456.0484100000003</v>
      </c>
      <c r="BH46" s="331">
        <v>0</v>
      </c>
      <c r="BI46" s="331">
        <v>0</v>
      </c>
      <c r="BJ46" s="334">
        <v>228.65293</v>
      </c>
      <c r="BK46" s="331">
        <v>0</v>
      </c>
      <c r="BL46" s="334">
        <v>0</v>
      </c>
      <c r="BM46" s="334">
        <v>-9.9777099999999983</v>
      </c>
      <c r="BN46" s="334">
        <v>238.63064000000003</v>
      </c>
      <c r="BP46" s="334">
        <v>19969.416839999998</v>
      </c>
      <c r="BQ46" s="311">
        <v>3335.49703</v>
      </c>
      <c r="BR46" s="272">
        <v>-349.20431000000002</v>
      </c>
      <c r="BS46" s="461">
        <v>-5369.0598099999997</v>
      </c>
      <c r="BT46" s="272">
        <v>358.79599999999999</v>
      </c>
      <c r="BU46" s="272">
        <v>451.60177000000004</v>
      </c>
      <c r="BV46" s="333">
        <v>12365.384260000003</v>
      </c>
      <c r="BX46" s="272">
        <v>9826.3138199999994</v>
      </c>
      <c r="BY46" s="469">
        <v>-328.42289</v>
      </c>
      <c r="BZ46" s="469">
        <v>-332.74534999999997</v>
      </c>
      <c r="CA46" s="552"/>
      <c r="CB46" s="335">
        <v>6.4</v>
      </c>
      <c r="CC46" s="471">
        <f t="shared" si="0"/>
        <v>6.4</v>
      </c>
      <c r="CD46" s="558"/>
      <c r="CE46" s="272"/>
      <c r="CF46" s="262"/>
      <c r="CI46" s="158">
        <v>0</v>
      </c>
      <c r="CJ46" s="331">
        <v>12430.522564855184</v>
      </c>
      <c r="CK46" s="331">
        <v>12676.133974398143</v>
      </c>
      <c r="CL46" s="331">
        <v>12996.783948275097</v>
      </c>
      <c r="CM46" s="472">
        <v>13669.913728078187</v>
      </c>
      <c r="CN46" s="472">
        <v>13877.188128988257</v>
      </c>
      <c r="CO46" s="480">
        <v>-608.65499999999997</v>
      </c>
      <c r="CP46" s="557"/>
      <c r="CQ46" s="474">
        <v>0</v>
      </c>
      <c r="CR46" s="474">
        <v>0</v>
      </c>
    </row>
    <row r="47" spans="1:96" x14ac:dyDescent="0.2">
      <c r="A47" s="154">
        <v>149</v>
      </c>
      <c r="B47" s="156" t="s">
        <v>81</v>
      </c>
      <c r="C47" s="325">
        <v>5379</v>
      </c>
      <c r="D47" s="270">
        <v>8.1099999999999977</v>
      </c>
      <c r="E47" s="185"/>
      <c r="G47" s="272">
        <v>4013.1512499999999</v>
      </c>
      <c r="H47" s="272">
        <v>19783.064140000002</v>
      </c>
      <c r="I47" s="272"/>
      <c r="J47" s="272">
        <v>11997.341</v>
      </c>
      <c r="K47" s="272">
        <v>1140.16463</v>
      </c>
      <c r="L47" s="272">
        <v>3169.02709</v>
      </c>
      <c r="M47" s="272">
        <v>16306.532720000001</v>
      </c>
      <c r="N47" s="272">
        <v>2348.4949999999999</v>
      </c>
      <c r="O47" s="272">
        <v>9.742799999999999</v>
      </c>
      <c r="P47" s="272">
        <v>751.64755000000002</v>
      </c>
      <c r="Q47" s="272">
        <v>11.99014</v>
      </c>
      <c r="R47" s="272">
        <v>3.0134699999999999</v>
      </c>
      <c r="S47" s="272">
        <v>2262.8607499999998</v>
      </c>
      <c r="U47" s="272">
        <v>2570.3811000000001</v>
      </c>
      <c r="V47" s="272">
        <v>0</v>
      </c>
      <c r="W47" s="272">
        <v>0</v>
      </c>
      <c r="X47" s="272">
        <v>-307.52034999999995</v>
      </c>
      <c r="Y47" s="272">
        <v>2258.8699100000003</v>
      </c>
      <c r="Z47" s="272">
        <v>-2835.018</v>
      </c>
      <c r="AA47" s="272">
        <v>0</v>
      </c>
      <c r="AB47" s="272">
        <v>268.62774000000002</v>
      </c>
      <c r="AD47" s="272">
        <v>8918.1650399999999</v>
      </c>
      <c r="AE47" s="157">
        <v>2165.1677100000002</v>
      </c>
      <c r="AF47" s="184">
        <v>-97.693039999999996</v>
      </c>
      <c r="AG47" s="272">
        <v>-12515.218869999999</v>
      </c>
      <c r="AH47" s="272">
        <v>898.52280000000007</v>
      </c>
      <c r="AI47" s="184">
        <v>107.8</v>
      </c>
      <c r="AJ47" s="272">
        <v>735.24012000000005</v>
      </c>
      <c r="AL47" s="272">
        <v>30775.317999999999</v>
      </c>
      <c r="AM47" s="184">
        <v>6.6793900000000006</v>
      </c>
      <c r="AN47" s="272">
        <v>7830.1980000000003</v>
      </c>
      <c r="AO47" s="343">
        <v>5402</v>
      </c>
      <c r="AP47" s="332">
        <v>8.1000000000000014</v>
      </c>
      <c r="AQ47" s="448"/>
      <c r="AS47" s="455">
        <v>4574.0837899999997</v>
      </c>
      <c r="AT47" s="272">
        <v>20838.010409999999</v>
      </c>
      <c r="AU47" s="450"/>
      <c r="AV47" s="334">
        <v>11036.889150000001</v>
      </c>
      <c r="AW47" s="334">
        <v>795.68561</v>
      </c>
      <c r="AX47" s="334">
        <v>3443.18084</v>
      </c>
      <c r="AY47" s="334">
        <v>15275.7556</v>
      </c>
      <c r="AZ47" s="334">
        <v>2356.9837200000002</v>
      </c>
      <c r="BA47" s="272">
        <v>42.368910000000007</v>
      </c>
      <c r="BB47" s="333">
        <v>1209.4351299999998</v>
      </c>
      <c r="BC47" s="272">
        <v>24.706430000000001</v>
      </c>
      <c r="BD47" s="272">
        <v>14.79867</v>
      </c>
      <c r="BE47" s="334">
        <v>219.34854000000001</v>
      </c>
      <c r="BG47" s="331">
        <v>3313.6033299999999</v>
      </c>
      <c r="BH47" s="334">
        <v>0</v>
      </c>
      <c r="BI47" s="334">
        <v>0</v>
      </c>
      <c r="BJ47" s="334">
        <v>-3094.25479</v>
      </c>
      <c r="BK47" s="331">
        <v>-615.55255</v>
      </c>
      <c r="BL47" s="331">
        <v>14.981999999999999</v>
      </c>
      <c r="BM47" s="331">
        <v>0</v>
      </c>
      <c r="BN47" s="334">
        <v>-2493.68424</v>
      </c>
      <c r="BP47" s="334">
        <v>6424.4807999999985</v>
      </c>
      <c r="BQ47" s="311">
        <v>122.17986999999999</v>
      </c>
      <c r="BR47" s="272">
        <v>-97.168669999999992</v>
      </c>
      <c r="BS47" s="461">
        <v>-4853.5575699999999</v>
      </c>
      <c r="BT47" s="272">
        <v>471.02559000000002</v>
      </c>
      <c r="BU47" s="272">
        <v>109.77996</v>
      </c>
      <c r="BV47" s="333">
        <v>226.15217999999999</v>
      </c>
      <c r="BX47" s="272">
        <v>34660.910000000003</v>
      </c>
      <c r="BY47" s="469">
        <v>-69.582210000000003</v>
      </c>
      <c r="BZ47" s="469">
        <v>3885.5920000000001</v>
      </c>
      <c r="CA47" s="552"/>
      <c r="CB47" s="335">
        <v>8.1</v>
      </c>
      <c r="CC47" s="471">
        <f t="shared" si="0"/>
        <v>8.1</v>
      </c>
      <c r="CD47" s="558"/>
      <c r="CE47" s="272"/>
      <c r="CF47" s="262"/>
      <c r="CG47" s="260"/>
      <c r="CI47" s="158">
        <v>0</v>
      </c>
      <c r="CJ47" s="331">
        <v>2474.0034097893772</v>
      </c>
      <c r="CK47" s="331">
        <v>2192.4557087471703</v>
      </c>
      <c r="CL47" s="331">
        <v>2254.0760337808551</v>
      </c>
      <c r="CM47" s="472">
        <v>2363.1606580498046</v>
      </c>
      <c r="CN47" s="472">
        <v>2384.1743637217842</v>
      </c>
      <c r="CO47" s="480">
        <v>-1394.4380000000001</v>
      </c>
      <c r="CP47" s="557"/>
      <c r="CQ47" s="474">
        <v>110.67400000000001</v>
      </c>
      <c r="CR47" s="474">
        <v>7.6943000000000001</v>
      </c>
    </row>
    <row r="48" spans="1:96" x14ac:dyDescent="0.2">
      <c r="A48" s="154">
        <v>151</v>
      </c>
      <c r="B48" s="156" t="s">
        <v>82</v>
      </c>
      <c r="C48" s="325">
        <v>1814</v>
      </c>
      <c r="D48" s="270">
        <v>9.86</v>
      </c>
      <c r="E48" s="185"/>
      <c r="G48" s="272">
        <v>1670.865</v>
      </c>
      <c r="H48" s="272">
        <v>6149.6297300000006</v>
      </c>
      <c r="I48" s="272"/>
      <c r="J48" s="272">
        <v>3042.8685399999999</v>
      </c>
      <c r="K48" s="272">
        <v>899.54025000000001</v>
      </c>
      <c r="L48" s="272">
        <v>1149.27432</v>
      </c>
      <c r="M48" s="272">
        <v>5091.6831099999999</v>
      </c>
      <c r="N48" s="272">
        <v>863.52431999999999</v>
      </c>
      <c r="O48" s="272">
        <v>0</v>
      </c>
      <c r="P48" s="272">
        <v>0.79625000000000001</v>
      </c>
      <c r="Q48" s="272">
        <v>17.523259999999997</v>
      </c>
      <c r="R48" s="272">
        <v>16.025600000000001</v>
      </c>
      <c r="S48" s="272">
        <v>1477.1441100000002</v>
      </c>
      <c r="U48" s="272">
        <v>1391.4666000000002</v>
      </c>
      <c r="V48" s="272">
        <v>0</v>
      </c>
      <c r="W48" s="272">
        <v>51.890209999999996</v>
      </c>
      <c r="X48" s="272">
        <v>33.787300000000002</v>
      </c>
      <c r="Y48" s="272">
        <v>-2.6498000000000004</v>
      </c>
      <c r="Z48" s="272">
        <v>0</v>
      </c>
      <c r="AA48" s="272">
        <v>0</v>
      </c>
      <c r="AB48" s="272">
        <v>36.437100000000001</v>
      </c>
      <c r="AD48" s="272">
        <v>4085.5484700000002</v>
      </c>
      <c r="AE48" s="157">
        <v>1425.2538999999999</v>
      </c>
      <c r="AF48" s="184">
        <v>0</v>
      </c>
      <c r="AG48" s="272">
        <v>-802.94212000000005</v>
      </c>
      <c r="AH48" s="272">
        <v>1.2</v>
      </c>
      <c r="AI48" s="184">
        <v>572.55399999999997</v>
      </c>
      <c r="AJ48" s="272">
        <v>3362.9273800000001</v>
      </c>
      <c r="AL48" s="272">
        <v>0</v>
      </c>
      <c r="AM48" s="184">
        <v>18</v>
      </c>
      <c r="AN48" s="272">
        <v>0</v>
      </c>
      <c r="AO48" s="343">
        <v>1794</v>
      </c>
      <c r="AP48" s="332">
        <v>9.8000000000000007</v>
      </c>
      <c r="AQ48" s="448"/>
      <c r="AS48" s="455">
        <v>1715.7631899999999</v>
      </c>
      <c r="AT48" s="272">
        <v>6407.8365000000003</v>
      </c>
      <c r="AU48" s="450"/>
      <c r="AV48" s="334">
        <v>3126.9340899999997</v>
      </c>
      <c r="AW48" s="334">
        <v>992.52144999999996</v>
      </c>
      <c r="AX48" s="334">
        <v>1433.22261</v>
      </c>
      <c r="AY48" s="334">
        <v>5552.6781500000006</v>
      </c>
      <c r="AZ48" s="334">
        <v>464.01499999999999</v>
      </c>
      <c r="BA48" s="272">
        <v>59.082980000000006</v>
      </c>
      <c r="BB48" s="333">
        <v>0.26962000000000003</v>
      </c>
      <c r="BC48" s="272">
        <v>19.469369999999998</v>
      </c>
      <c r="BD48" s="272">
        <v>17.634720000000002</v>
      </c>
      <c r="BE48" s="334">
        <v>1385.2678500000002</v>
      </c>
      <c r="BG48" s="331">
        <v>529.31286</v>
      </c>
      <c r="BH48" s="331">
        <v>22.181799999999999</v>
      </c>
      <c r="BI48" s="331">
        <v>0</v>
      </c>
      <c r="BJ48" s="334">
        <v>878.13679000000002</v>
      </c>
      <c r="BK48" s="334">
        <v>-2.6497899999999999</v>
      </c>
      <c r="BL48" s="334">
        <v>800</v>
      </c>
      <c r="BM48" s="331">
        <v>0</v>
      </c>
      <c r="BN48" s="334">
        <v>80.786580000000001</v>
      </c>
      <c r="BP48" s="334">
        <v>4166.3350500000006</v>
      </c>
      <c r="BQ48" s="311">
        <v>1381.5663999999999</v>
      </c>
      <c r="BR48" s="272">
        <v>-25.88325</v>
      </c>
      <c r="BS48" s="461">
        <v>-394.49091999999996</v>
      </c>
      <c r="BT48" s="272">
        <v>34.039610000000003</v>
      </c>
      <c r="BU48" s="272">
        <v>39.500010000000003</v>
      </c>
      <c r="BV48" s="333">
        <v>4826.4232300000003</v>
      </c>
      <c r="BX48" s="272">
        <v>0</v>
      </c>
      <c r="BY48" s="469">
        <v>-17.55</v>
      </c>
      <c r="BZ48" s="469">
        <v>0</v>
      </c>
      <c r="CA48" s="552"/>
      <c r="CB48" s="335">
        <v>9.8000000000000007</v>
      </c>
      <c r="CC48" s="471">
        <f t="shared" si="0"/>
        <v>9.8000000000000007</v>
      </c>
      <c r="CD48" s="558"/>
      <c r="CE48" s="272"/>
      <c r="CF48" s="262"/>
      <c r="CI48" s="158">
        <v>0</v>
      </c>
      <c r="CJ48" s="331">
        <v>522.32380795486665</v>
      </c>
      <c r="CK48" s="331">
        <v>481.71503584137304</v>
      </c>
      <c r="CL48" s="331">
        <v>756.6951699724118</v>
      </c>
      <c r="CM48" s="472">
        <v>812.10953143031634</v>
      </c>
      <c r="CN48" s="472">
        <v>813.032807051482</v>
      </c>
      <c r="CO48" s="480">
        <v>-426.85500000000002</v>
      </c>
      <c r="CP48" s="557"/>
      <c r="CQ48" s="474">
        <v>0</v>
      </c>
      <c r="CR48" s="474">
        <v>0</v>
      </c>
    </row>
    <row r="49" spans="1:96" x14ac:dyDescent="0.2">
      <c r="A49" s="154">
        <v>152</v>
      </c>
      <c r="B49" s="156" t="s">
        <v>83</v>
      </c>
      <c r="C49" s="325">
        <v>4357</v>
      </c>
      <c r="D49" s="270">
        <v>8.86</v>
      </c>
      <c r="E49" s="185"/>
      <c r="G49" s="272">
        <v>3975.0783300000003</v>
      </c>
      <c r="H49" s="272">
        <v>14928.56452</v>
      </c>
      <c r="I49" s="272"/>
      <c r="J49" s="272">
        <v>7504.6685800000005</v>
      </c>
      <c r="K49" s="272">
        <v>879.41506000000004</v>
      </c>
      <c r="L49" s="272">
        <v>986.80237999999997</v>
      </c>
      <c r="M49" s="272">
        <v>9370.8860199999999</v>
      </c>
      <c r="N49" s="272">
        <v>4717.7759999999998</v>
      </c>
      <c r="O49" s="272">
        <v>9.6382199999999987</v>
      </c>
      <c r="P49" s="272">
        <v>10.60745</v>
      </c>
      <c r="Q49" s="272">
        <v>27.0425</v>
      </c>
      <c r="R49" s="272">
        <v>13.01535</v>
      </c>
      <c r="S49" s="272">
        <v>3148.2337499999999</v>
      </c>
      <c r="U49" s="272">
        <v>1811.3735300000001</v>
      </c>
      <c r="V49" s="272">
        <v>0</v>
      </c>
      <c r="W49" s="272">
        <v>0</v>
      </c>
      <c r="X49" s="272">
        <v>1336.86022</v>
      </c>
      <c r="Y49" s="272">
        <v>0</v>
      </c>
      <c r="Z49" s="272">
        <v>0</v>
      </c>
      <c r="AA49" s="272">
        <v>0</v>
      </c>
      <c r="AB49" s="272">
        <v>1336.86022</v>
      </c>
      <c r="AD49" s="272">
        <v>15104.02029</v>
      </c>
      <c r="AE49" s="157">
        <v>3151.0446200000001</v>
      </c>
      <c r="AF49" s="184">
        <v>2.81087</v>
      </c>
      <c r="AG49" s="272">
        <v>-2655.81131</v>
      </c>
      <c r="AH49" s="272">
        <v>0</v>
      </c>
      <c r="AI49" s="184">
        <v>55.019980000000004</v>
      </c>
      <c r="AJ49" s="272">
        <v>1944.0273300000001</v>
      </c>
      <c r="AL49" s="272">
        <v>2335</v>
      </c>
      <c r="AM49" s="184">
        <v>26.981330000000003</v>
      </c>
      <c r="AN49" s="272">
        <v>-380</v>
      </c>
      <c r="AO49" s="343">
        <v>4319</v>
      </c>
      <c r="AP49" s="332">
        <v>9.5</v>
      </c>
      <c r="AQ49" s="448"/>
      <c r="AS49" s="455">
        <v>4238.9337300000007</v>
      </c>
      <c r="AT49" s="272">
        <v>14927.634960000001</v>
      </c>
      <c r="AU49" s="450"/>
      <c r="AV49" s="334">
        <v>8048.0575399999998</v>
      </c>
      <c r="AW49" s="334">
        <v>690.70388000000003</v>
      </c>
      <c r="AX49" s="334">
        <v>1103.34509</v>
      </c>
      <c r="AY49" s="334">
        <v>9842.1065099999996</v>
      </c>
      <c r="AZ49" s="334">
        <v>4110.1760000000004</v>
      </c>
      <c r="BA49" s="272">
        <v>20.251900000000003</v>
      </c>
      <c r="BB49" s="333">
        <v>8.4614799999999999</v>
      </c>
      <c r="BC49" s="272">
        <v>50.417809999999996</v>
      </c>
      <c r="BD49" s="272">
        <v>4.4133000000000004</v>
      </c>
      <c r="BE49" s="334">
        <v>3321.3762099999999</v>
      </c>
      <c r="BG49" s="331">
        <v>1838.3311699999999</v>
      </c>
      <c r="BH49" s="331">
        <v>0</v>
      </c>
      <c r="BI49" s="331">
        <v>1.6749000000000001</v>
      </c>
      <c r="BJ49" s="334">
        <v>1481.37014</v>
      </c>
      <c r="BK49" s="334">
        <v>0</v>
      </c>
      <c r="BL49" s="331">
        <v>0</v>
      </c>
      <c r="BM49" s="331">
        <v>0</v>
      </c>
      <c r="BN49" s="334">
        <v>1481.37014</v>
      </c>
      <c r="BP49" s="334">
        <v>16585.390429999999</v>
      </c>
      <c r="BQ49" s="311">
        <v>3332.2123900000001</v>
      </c>
      <c r="BR49" s="272">
        <v>12.51108</v>
      </c>
      <c r="BS49" s="461">
        <v>-2048.1567300000002</v>
      </c>
      <c r="BT49" s="272">
        <v>19.30039</v>
      </c>
      <c r="BU49" s="272">
        <v>34.294400000000003</v>
      </c>
      <c r="BV49" s="333">
        <v>2750.76548</v>
      </c>
      <c r="BX49" s="272">
        <v>1955</v>
      </c>
      <c r="BY49" s="469">
        <v>35.129469999999998</v>
      </c>
      <c r="BZ49" s="469">
        <v>-380</v>
      </c>
      <c r="CA49" s="552"/>
      <c r="CB49" s="335">
        <v>9.5</v>
      </c>
      <c r="CC49" s="471">
        <f t="shared" si="0"/>
        <v>9.5</v>
      </c>
      <c r="CD49" s="558"/>
      <c r="CE49" s="272"/>
      <c r="CF49" s="262"/>
      <c r="CI49" s="158">
        <v>0</v>
      </c>
      <c r="CJ49" s="331">
        <v>4386.6153936678929</v>
      </c>
      <c r="CK49" s="331">
        <v>4426.0544954373654</v>
      </c>
      <c r="CL49" s="331">
        <v>4565.0180630015466</v>
      </c>
      <c r="CM49" s="472">
        <v>4902.5342507730429</v>
      </c>
      <c r="CN49" s="472">
        <v>4925.4125031046578</v>
      </c>
      <c r="CO49" s="480">
        <v>241.94399999999999</v>
      </c>
      <c r="CP49" s="557"/>
      <c r="CQ49" s="474">
        <v>0</v>
      </c>
      <c r="CR49" s="474">
        <v>0</v>
      </c>
    </row>
    <row r="50" spans="1:96" x14ac:dyDescent="0.2">
      <c r="A50" s="154">
        <v>165</v>
      </c>
      <c r="B50" s="156" t="s">
        <v>84</v>
      </c>
      <c r="C50" s="325">
        <v>16123</v>
      </c>
      <c r="D50" s="270">
        <v>8.36</v>
      </c>
      <c r="E50" s="185"/>
      <c r="G50" s="272">
        <v>14212.576550000002</v>
      </c>
      <c r="H50" s="272">
        <v>52666.667030000004</v>
      </c>
      <c r="I50" s="272"/>
      <c r="J50" s="272">
        <v>31662.303500000002</v>
      </c>
      <c r="K50" s="272">
        <v>3051.3200299999999</v>
      </c>
      <c r="L50" s="272">
        <v>4238.0692099999997</v>
      </c>
      <c r="M50" s="272">
        <v>38951.692739999999</v>
      </c>
      <c r="N50" s="272">
        <v>12270.104499999999</v>
      </c>
      <c r="O50" s="272">
        <v>87.84366</v>
      </c>
      <c r="P50" s="272">
        <v>855.32443999999998</v>
      </c>
      <c r="Q50" s="272">
        <v>181.23587000000001</v>
      </c>
      <c r="R50" s="272">
        <v>10.457739999999999</v>
      </c>
      <c r="S50" s="272">
        <v>12509.293089999999</v>
      </c>
      <c r="U50" s="272">
        <v>7685.6292000000003</v>
      </c>
      <c r="V50" s="272">
        <v>0</v>
      </c>
      <c r="W50" s="272">
        <v>0</v>
      </c>
      <c r="X50" s="272">
        <v>4823.6638899999998</v>
      </c>
      <c r="Y50" s="272">
        <v>0</v>
      </c>
      <c r="Z50" s="272">
        <v>0</v>
      </c>
      <c r="AA50" s="272">
        <v>0</v>
      </c>
      <c r="AB50" s="272">
        <v>4823.6638899999998</v>
      </c>
      <c r="AD50" s="272">
        <v>11066.50013</v>
      </c>
      <c r="AE50" s="157">
        <v>12299.04509</v>
      </c>
      <c r="AF50" s="184">
        <v>-210.24799999999999</v>
      </c>
      <c r="AG50" s="272">
        <v>-11600.147949999999</v>
      </c>
      <c r="AH50" s="272">
        <v>1546.6593</v>
      </c>
      <c r="AI50" s="184">
        <v>306.05581000000001</v>
      </c>
      <c r="AJ50" s="272">
        <v>13268.875099999999</v>
      </c>
      <c r="AL50" s="272">
        <v>49437.143960000001</v>
      </c>
      <c r="AM50" s="184">
        <v>0</v>
      </c>
      <c r="AN50" s="272">
        <v>1306.68175</v>
      </c>
      <c r="AO50" s="343">
        <v>16015</v>
      </c>
      <c r="AP50" s="332">
        <v>8.4</v>
      </c>
      <c r="AQ50" s="448"/>
      <c r="AS50" s="455">
        <v>14848.863589999999</v>
      </c>
      <c r="AT50" s="272">
        <v>53704.952740000001</v>
      </c>
      <c r="AU50" s="450"/>
      <c r="AV50" s="334">
        <v>31028.092079999999</v>
      </c>
      <c r="AW50" s="334">
        <v>2800.6240699999998</v>
      </c>
      <c r="AX50" s="334">
        <v>4556.4925000000003</v>
      </c>
      <c r="AY50" s="334">
        <v>38385.20865</v>
      </c>
      <c r="AZ50" s="334">
        <v>9753.7649999999994</v>
      </c>
      <c r="BA50" s="272">
        <v>93.590419999999995</v>
      </c>
      <c r="BB50" s="333">
        <v>1202.9317800000001</v>
      </c>
      <c r="BC50" s="272">
        <v>350.00565</v>
      </c>
      <c r="BD50" s="272">
        <v>3.5928100000000001</v>
      </c>
      <c r="BE50" s="334">
        <v>8841.1428200000009</v>
      </c>
      <c r="BG50" s="331">
        <v>6207.5992800000004</v>
      </c>
      <c r="BH50" s="331">
        <v>0</v>
      </c>
      <c r="BI50" s="331">
        <v>0</v>
      </c>
      <c r="BJ50" s="334">
        <v>2633.5435400000001</v>
      </c>
      <c r="BK50" s="334">
        <v>0</v>
      </c>
      <c r="BL50" s="334">
        <v>0</v>
      </c>
      <c r="BM50" s="331">
        <v>0</v>
      </c>
      <c r="BN50" s="334">
        <v>2633.5435400000001</v>
      </c>
      <c r="BP50" s="334">
        <v>13700.043670000001</v>
      </c>
      <c r="BQ50" s="311">
        <v>8620.0328599999993</v>
      </c>
      <c r="BR50" s="272">
        <v>-221.10996</v>
      </c>
      <c r="BS50" s="461">
        <v>-17256.97262</v>
      </c>
      <c r="BT50" s="272">
        <v>72</v>
      </c>
      <c r="BU50" s="272">
        <v>257.98399999999998</v>
      </c>
      <c r="BV50" s="333">
        <v>293.0838</v>
      </c>
      <c r="BX50" s="272">
        <v>46607.020910000007</v>
      </c>
      <c r="BY50" s="469">
        <v>0</v>
      </c>
      <c r="BZ50" s="469">
        <v>-2830.1230499999997</v>
      </c>
      <c r="CA50" s="552"/>
      <c r="CB50" s="335">
        <v>8.6999999999999993</v>
      </c>
      <c r="CC50" s="471">
        <f t="shared" si="0"/>
        <v>8.6999999999999993</v>
      </c>
      <c r="CD50" s="558"/>
      <c r="CE50" s="272"/>
      <c r="CF50" s="262"/>
      <c r="CI50" s="158">
        <v>0</v>
      </c>
      <c r="CJ50" s="331">
        <v>9684.801699878104</v>
      </c>
      <c r="CK50" s="331">
        <v>9126.5159994008227</v>
      </c>
      <c r="CL50" s="331">
        <v>7550.2162407773885</v>
      </c>
      <c r="CM50" s="472">
        <v>8407.4111053181277</v>
      </c>
      <c r="CN50" s="472">
        <v>8929.5137846375528</v>
      </c>
      <c r="CO50" s="480">
        <v>-1878.758</v>
      </c>
      <c r="CP50" s="557"/>
      <c r="CQ50" s="474">
        <v>338.28897999999998</v>
      </c>
      <c r="CR50" s="474">
        <v>321.18684000000002</v>
      </c>
    </row>
    <row r="51" spans="1:96" x14ac:dyDescent="0.2">
      <c r="A51" s="154">
        <v>167</v>
      </c>
      <c r="B51" s="156" t="s">
        <v>85</v>
      </c>
      <c r="C51" s="325">
        <v>78062</v>
      </c>
      <c r="D51" s="270">
        <v>7.86</v>
      </c>
      <c r="E51" s="185"/>
      <c r="G51" s="272">
        <v>77654.32825000002</v>
      </c>
      <c r="H51" s="272">
        <v>253053.92298</v>
      </c>
      <c r="I51" s="272"/>
      <c r="J51" s="272">
        <v>119920.7654</v>
      </c>
      <c r="K51" s="272">
        <v>27220.884910000001</v>
      </c>
      <c r="L51" s="272">
        <v>23596.249010000003</v>
      </c>
      <c r="M51" s="272">
        <v>170737.89932</v>
      </c>
      <c r="N51" s="272">
        <v>56313.153389999999</v>
      </c>
      <c r="O51" s="272">
        <v>1113.01478</v>
      </c>
      <c r="P51" s="272">
        <v>4621.2673399999994</v>
      </c>
      <c r="Q51" s="272">
        <v>8768.09591</v>
      </c>
      <c r="R51" s="272">
        <v>2871.1004400000002</v>
      </c>
      <c r="S51" s="272">
        <v>58329.70723</v>
      </c>
      <c r="U51" s="272">
        <v>37431.541409999998</v>
      </c>
      <c r="V51" s="272">
        <v>0</v>
      </c>
      <c r="W51" s="272">
        <v>0</v>
      </c>
      <c r="X51" s="272">
        <v>20898.165820000002</v>
      </c>
      <c r="Y51" s="272">
        <v>5870.3574200000003</v>
      </c>
      <c r="Z51" s="272">
        <v>-6518.0365899999997</v>
      </c>
      <c r="AA51" s="272">
        <v>664.04081999999994</v>
      </c>
      <c r="AB51" s="272">
        <v>20881.804170000003</v>
      </c>
      <c r="AD51" s="272">
        <v>45368.42138</v>
      </c>
      <c r="AE51" s="157">
        <v>57785.397520000006</v>
      </c>
      <c r="AF51" s="184">
        <v>-544.30971</v>
      </c>
      <c r="AG51" s="272">
        <v>-51180.419070000004</v>
      </c>
      <c r="AH51" s="272">
        <v>3094.61265</v>
      </c>
      <c r="AI51" s="184">
        <v>718.28102999999999</v>
      </c>
      <c r="AJ51" s="272">
        <v>110058.96565000001</v>
      </c>
      <c r="AL51" s="272">
        <v>223384.51420999999</v>
      </c>
      <c r="AM51" s="184">
        <v>1329.8846699999999</v>
      </c>
      <c r="AN51" s="272">
        <v>-11776.095140000001</v>
      </c>
      <c r="AO51" s="343">
        <v>78741</v>
      </c>
      <c r="AP51" s="332">
        <v>7.9</v>
      </c>
      <c r="AQ51" s="448"/>
      <c r="AS51" s="455">
        <v>79100.075989999998</v>
      </c>
      <c r="AT51" s="272">
        <v>251625.91623</v>
      </c>
      <c r="AU51" s="450"/>
      <c r="AV51" s="334">
        <v>122564.84676</v>
      </c>
      <c r="AW51" s="334">
        <v>21503.463329999999</v>
      </c>
      <c r="AX51" s="334">
        <v>24407.908930000001</v>
      </c>
      <c r="AY51" s="334">
        <v>168476.21902000002</v>
      </c>
      <c r="AZ51" s="334">
        <v>39938.031450000002</v>
      </c>
      <c r="BA51" s="272">
        <v>1391.8415600000001</v>
      </c>
      <c r="BB51" s="333">
        <v>6489.1001500000002</v>
      </c>
      <c r="BC51" s="272">
        <v>7777.46306</v>
      </c>
      <c r="BD51" s="272">
        <v>1145.0166999999999</v>
      </c>
      <c r="BE51" s="334">
        <v>41215.477439999995</v>
      </c>
      <c r="BG51" s="331">
        <v>37539.164049999999</v>
      </c>
      <c r="BH51" s="334">
        <v>0</v>
      </c>
      <c r="BI51" s="331">
        <v>0</v>
      </c>
      <c r="BJ51" s="334">
        <v>3676.3133900000003</v>
      </c>
      <c r="BK51" s="334">
        <v>-2185.3153299999999</v>
      </c>
      <c r="BL51" s="334">
        <v>2831.5748799999997</v>
      </c>
      <c r="BM51" s="334">
        <v>-2.7</v>
      </c>
      <c r="BN51" s="334">
        <v>3032.7538399999999</v>
      </c>
      <c r="BP51" s="334">
        <v>48401.175219999997</v>
      </c>
      <c r="BQ51" s="311">
        <v>30317.45521</v>
      </c>
      <c r="BR51" s="272">
        <v>-10898.02223</v>
      </c>
      <c r="BS51" s="461">
        <v>-51362.489649999996</v>
      </c>
      <c r="BT51" s="272">
        <v>2094.2744199999997</v>
      </c>
      <c r="BU51" s="272">
        <v>2499.8301200000001</v>
      </c>
      <c r="BV51" s="333">
        <v>116209.4905</v>
      </c>
      <c r="BX51" s="272">
        <v>252484.30839000002</v>
      </c>
      <c r="BY51" s="469">
        <v>2005.2609199999999</v>
      </c>
      <c r="BZ51" s="469">
        <v>29099.794180000001</v>
      </c>
      <c r="CA51" s="552"/>
      <c r="CB51" s="335">
        <v>8.1</v>
      </c>
      <c r="CC51" s="471">
        <f t="shared" si="0"/>
        <v>8.1</v>
      </c>
      <c r="CD51" s="558"/>
      <c r="CE51" s="272"/>
      <c r="CF51" s="262"/>
      <c r="CI51" s="158">
        <v>0</v>
      </c>
      <c r="CJ51" s="331">
        <v>51082.399316435578</v>
      </c>
      <c r="CK51" s="331">
        <v>55701.673773492621</v>
      </c>
      <c r="CL51" s="331">
        <v>56661.818261278881</v>
      </c>
      <c r="CM51" s="472">
        <v>61536.570702228186</v>
      </c>
      <c r="CN51" s="472">
        <v>62649.114988006964</v>
      </c>
      <c r="CO51" s="480">
        <v>2501.1509999999998</v>
      </c>
      <c r="CP51" s="557"/>
      <c r="CQ51" s="474">
        <v>4289.5063399999999</v>
      </c>
      <c r="CR51" s="474">
        <v>3791.8794400000002</v>
      </c>
    </row>
    <row r="52" spans="1:96" x14ac:dyDescent="0.2">
      <c r="A52" s="154">
        <v>169</v>
      </c>
      <c r="B52" s="156" t="s">
        <v>86</v>
      </c>
      <c r="C52" s="325">
        <v>4916</v>
      </c>
      <c r="D52" s="270">
        <v>8.61</v>
      </c>
      <c r="E52" s="185"/>
      <c r="G52" s="272">
        <v>3738.2072200000002</v>
      </c>
      <c r="H52" s="272">
        <v>15675.84432</v>
      </c>
      <c r="I52" s="272"/>
      <c r="J52" s="272">
        <v>9360.9709199999998</v>
      </c>
      <c r="K52" s="272">
        <v>735.73864000000003</v>
      </c>
      <c r="L52" s="272">
        <v>1266.82275</v>
      </c>
      <c r="M52" s="272">
        <v>11363.532310000001</v>
      </c>
      <c r="N52" s="272">
        <v>2475.6610000000001</v>
      </c>
      <c r="O52" s="272">
        <v>14.0924</v>
      </c>
      <c r="P52" s="272">
        <v>285.56662</v>
      </c>
      <c r="Q52" s="272">
        <v>52.833019999999998</v>
      </c>
      <c r="R52" s="272">
        <v>28.099919999999997</v>
      </c>
      <c r="S52" s="272">
        <v>1654.8150900000001</v>
      </c>
      <c r="U52" s="272">
        <v>1532.35311</v>
      </c>
      <c r="V52" s="272">
        <v>0</v>
      </c>
      <c r="W52" s="272">
        <v>0</v>
      </c>
      <c r="X52" s="272">
        <v>122.46198</v>
      </c>
      <c r="Y52" s="272">
        <v>0</v>
      </c>
      <c r="Z52" s="272">
        <v>0</v>
      </c>
      <c r="AA52" s="272">
        <v>0</v>
      </c>
      <c r="AB52" s="272">
        <v>122.46198</v>
      </c>
      <c r="AD52" s="272">
        <v>9304.9979700000004</v>
      </c>
      <c r="AE52" s="157">
        <v>1633.98712</v>
      </c>
      <c r="AF52" s="184">
        <v>-20.827909999999999</v>
      </c>
      <c r="AG52" s="272">
        <v>-1108.21577</v>
      </c>
      <c r="AH52" s="272">
        <v>27</v>
      </c>
      <c r="AI52" s="184">
        <v>36</v>
      </c>
      <c r="AJ52" s="272">
        <v>934.51813000000004</v>
      </c>
      <c r="AL52" s="272">
        <v>10946.09814</v>
      </c>
      <c r="AM52" s="184">
        <v>0</v>
      </c>
      <c r="AN52" s="272">
        <v>47.910019999999996</v>
      </c>
      <c r="AO52" s="343">
        <v>4848</v>
      </c>
      <c r="AP52" s="332">
        <v>8.6999999999999993</v>
      </c>
      <c r="AQ52" s="448"/>
      <c r="AS52" s="455">
        <v>3989.3528799999999</v>
      </c>
      <c r="AT52" s="272">
        <v>15972.317449999999</v>
      </c>
      <c r="AU52" s="450"/>
      <c r="AV52" s="334">
        <v>8962.6870199999994</v>
      </c>
      <c r="AW52" s="334">
        <v>543.02496999999994</v>
      </c>
      <c r="AX52" s="334">
        <v>1311.6766</v>
      </c>
      <c r="AY52" s="334">
        <v>10817.38859</v>
      </c>
      <c r="AZ52" s="334">
        <v>2537.8510000000001</v>
      </c>
      <c r="BA52" s="272">
        <v>26.10839</v>
      </c>
      <c r="BB52" s="333">
        <v>366.20335999999998</v>
      </c>
      <c r="BC52" s="272">
        <v>45.76585</v>
      </c>
      <c r="BD52" s="272">
        <v>3.6240100000000002</v>
      </c>
      <c r="BE52" s="334">
        <v>1074.3218899999999</v>
      </c>
      <c r="BG52" s="331">
        <v>1601.7279199999998</v>
      </c>
      <c r="BH52" s="331">
        <v>0</v>
      </c>
      <c r="BI52" s="331">
        <v>1472.72514</v>
      </c>
      <c r="BJ52" s="334">
        <v>-2000.1311699999999</v>
      </c>
      <c r="BK52" s="331">
        <v>0</v>
      </c>
      <c r="BL52" s="331">
        <v>0</v>
      </c>
      <c r="BM52" s="331">
        <v>0</v>
      </c>
      <c r="BN52" s="334">
        <v>-2000.1311699999999</v>
      </c>
      <c r="BP52" s="334">
        <v>7304.8668000000007</v>
      </c>
      <c r="BQ52" s="311">
        <v>958.14185999999995</v>
      </c>
      <c r="BR52" s="272">
        <v>1356.54511</v>
      </c>
      <c r="BS52" s="461">
        <v>-2915.0037400000001</v>
      </c>
      <c r="BT52" s="272">
        <v>10</v>
      </c>
      <c r="BU52" s="272">
        <v>2817.7463299999999</v>
      </c>
      <c r="BV52" s="333">
        <v>1488.96722</v>
      </c>
      <c r="BX52" s="272">
        <v>10230.258159999999</v>
      </c>
      <c r="BY52" s="469">
        <v>-15</v>
      </c>
      <c r="BZ52" s="469">
        <v>-715.83997999999997</v>
      </c>
      <c r="CA52" s="552"/>
      <c r="CB52" s="335">
        <v>9.0000000000000018</v>
      </c>
      <c r="CC52" s="471">
        <f t="shared" si="0"/>
        <v>9.0000000000000018</v>
      </c>
      <c r="CD52" s="558"/>
      <c r="CE52" s="272"/>
      <c r="CF52" s="262"/>
      <c r="CI52" s="158">
        <v>0</v>
      </c>
      <c r="CJ52" s="331">
        <v>3057.5160692515092</v>
      </c>
      <c r="CK52" s="331">
        <v>2783.8856496868602</v>
      </c>
      <c r="CL52" s="331">
        <v>2659.4267149426687</v>
      </c>
      <c r="CM52" s="472">
        <v>2778.2932312817857</v>
      </c>
      <c r="CN52" s="472">
        <v>2761.5872366259719</v>
      </c>
      <c r="CO52" s="480">
        <v>-1211.76</v>
      </c>
      <c r="CP52" s="557"/>
      <c r="CQ52" s="474">
        <v>0</v>
      </c>
      <c r="CR52" s="474">
        <v>0</v>
      </c>
    </row>
    <row r="53" spans="1:96" x14ac:dyDescent="0.2">
      <c r="A53" s="154">
        <v>171</v>
      </c>
      <c r="B53" s="156" t="s">
        <v>87</v>
      </c>
      <c r="C53" s="325">
        <v>4590</v>
      </c>
      <c r="D53" s="270">
        <v>8.61</v>
      </c>
      <c r="E53" s="185"/>
      <c r="G53" s="272">
        <v>3725.94965</v>
      </c>
      <c r="H53" s="272">
        <v>14727.636909999999</v>
      </c>
      <c r="I53" s="272"/>
      <c r="J53" s="272">
        <v>7984.5252300000002</v>
      </c>
      <c r="K53" s="272">
        <v>1404.5017399999999</v>
      </c>
      <c r="L53" s="272">
        <v>1227.07286</v>
      </c>
      <c r="M53" s="272">
        <v>10616.099829999999</v>
      </c>
      <c r="N53" s="272">
        <v>2635.0189999999998</v>
      </c>
      <c r="O53" s="272">
        <v>83.62997</v>
      </c>
      <c r="P53" s="272">
        <v>412.95835999999997</v>
      </c>
      <c r="Q53" s="272">
        <v>401.95267999999999</v>
      </c>
      <c r="R53" s="272">
        <v>89.006690000000006</v>
      </c>
      <c r="S53" s="272">
        <v>2233.0491699999998</v>
      </c>
      <c r="U53" s="272">
        <v>1927.9461899999999</v>
      </c>
      <c r="V53" s="272">
        <v>0</v>
      </c>
      <c r="W53" s="272">
        <v>0</v>
      </c>
      <c r="X53" s="272">
        <v>305.10298</v>
      </c>
      <c r="Y53" s="272">
        <v>29.882819999999999</v>
      </c>
      <c r="Z53" s="272">
        <v>-70</v>
      </c>
      <c r="AA53" s="272">
        <v>0</v>
      </c>
      <c r="AB53" s="272">
        <v>345.22015999999996</v>
      </c>
      <c r="AD53" s="272">
        <v>8111.44427</v>
      </c>
      <c r="AE53" s="157">
        <v>2354.7680699999996</v>
      </c>
      <c r="AF53" s="184">
        <v>121.71889999999999</v>
      </c>
      <c r="AG53" s="272">
        <v>-1242.12004</v>
      </c>
      <c r="AH53" s="272">
        <v>119</v>
      </c>
      <c r="AI53" s="184">
        <v>278.64999999999998</v>
      </c>
      <c r="AJ53" s="272">
        <v>9469.3612899999989</v>
      </c>
      <c r="AL53" s="272">
        <v>17145.45608</v>
      </c>
      <c r="AM53" s="184">
        <v>68.456670000000003</v>
      </c>
      <c r="AN53" s="272">
        <v>-3276.29232</v>
      </c>
      <c r="AO53" s="343">
        <v>4552</v>
      </c>
      <c r="AP53" s="332">
        <v>8.6</v>
      </c>
      <c r="AQ53" s="448"/>
      <c r="AS53" s="455">
        <v>3996.2839900000004</v>
      </c>
      <c r="AT53" s="272">
        <v>14567.663210000001</v>
      </c>
      <c r="AU53" s="450"/>
      <c r="AV53" s="334">
        <v>8049.9441999999999</v>
      </c>
      <c r="AW53" s="334">
        <v>1235.2535800000001</v>
      </c>
      <c r="AX53" s="334">
        <v>1311.0080700000001</v>
      </c>
      <c r="AY53" s="334">
        <v>10596.20585</v>
      </c>
      <c r="AZ53" s="334">
        <v>2681.931</v>
      </c>
      <c r="BA53" s="272">
        <v>60.839150000000004</v>
      </c>
      <c r="BB53" s="333">
        <v>442.83221000000003</v>
      </c>
      <c r="BC53" s="272">
        <v>463.9853</v>
      </c>
      <c r="BD53" s="272">
        <v>53.588459999999998</v>
      </c>
      <c r="BE53" s="334">
        <v>2737.4143399999998</v>
      </c>
      <c r="BG53" s="331">
        <v>1498.49748</v>
      </c>
      <c r="BH53" s="331">
        <v>0</v>
      </c>
      <c r="BI53" s="334">
        <v>0</v>
      </c>
      <c r="BJ53" s="334">
        <v>1238.91686</v>
      </c>
      <c r="BK53" s="334">
        <v>-31.22137</v>
      </c>
      <c r="BL53" s="334">
        <v>1000</v>
      </c>
      <c r="BM53" s="331">
        <v>0</v>
      </c>
      <c r="BN53" s="334">
        <v>270.13822999999996</v>
      </c>
      <c r="BP53" s="334">
        <v>8524.0366199999989</v>
      </c>
      <c r="BQ53" s="311">
        <v>2564.2387899999999</v>
      </c>
      <c r="BR53" s="272">
        <v>-173.17554999999999</v>
      </c>
      <c r="BS53" s="461">
        <v>-1114.2000500000001</v>
      </c>
      <c r="BT53" s="272">
        <v>0.74247000000000007</v>
      </c>
      <c r="BU53" s="272">
        <v>204.24798000000001</v>
      </c>
      <c r="BV53" s="333">
        <v>10292.439329999999</v>
      </c>
      <c r="BX53" s="272">
        <v>16574.429759999999</v>
      </c>
      <c r="BY53" s="469">
        <v>38.928559999999997</v>
      </c>
      <c r="BZ53" s="469">
        <v>-571.02631999999994</v>
      </c>
      <c r="CA53" s="552"/>
      <c r="CB53" s="335">
        <v>8.6</v>
      </c>
      <c r="CC53" s="471">
        <f t="shared" si="0"/>
        <v>8.6</v>
      </c>
      <c r="CD53" s="558"/>
      <c r="CE53" s="272"/>
      <c r="CF53" s="262"/>
      <c r="CI53" s="158">
        <v>0</v>
      </c>
      <c r="CJ53" s="331">
        <v>3530.7509516560326</v>
      </c>
      <c r="CK53" s="331">
        <v>3684.4039296797355</v>
      </c>
      <c r="CL53" s="331">
        <v>3714.1561352908002</v>
      </c>
      <c r="CM53" s="472">
        <v>3994.8984944539729</v>
      </c>
      <c r="CN53" s="472">
        <v>4054.7741985227694</v>
      </c>
      <c r="CO53" s="480">
        <v>271.505</v>
      </c>
      <c r="CP53" s="557"/>
      <c r="CQ53" s="474">
        <v>0</v>
      </c>
      <c r="CR53" s="474">
        <v>2.2529299999999997</v>
      </c>
    </row>
    <row r="54" spans="1:96" x14ac:dyDescent="0.2">
      <c r="A54" s="154">
        <v>172</v>
      </c>
      <c r="B54" s="156" t="s">
        <v>88</v>
      </c>
      <c r="C54" s="325">
        <v>4079</v>
      </c>
      <c r="D54" s="270">
        <v>8.3599999999999977</v>
      </c>
      <c r="E54" s="185"/>
      <c r="G54" s="272">
        <v>4124.3181500000001</v>
      </c>
      <c r="H54" s="272">
        <v>14107.56194</v>
      </c>
      <c r="I54" s="272"/>
      <c r="J54" s="272">
        <v>6142.9889699999994</v>
      </c>
      <c r="K54" s="272">
        <v>1405.33755</v>
      </c>
      <c r="L54" s="272">
        <v>1862.6998700000001</v>
      </c>
      <c r="M54" s="272">
        <v>9411.0263900000009</v>
      </c>
      <c r="N54" s="272">
        <v>2400.7766000000001</v>
      </c>
      <c r="O54" s="272">
        <v>4.3368000000000002</v>
      </c>
      <c r="P54" s="272">
        <v>492.28296999999998</v>
      </c>
      <c r="Q54" s="272">
        <v>231.88415000000001</v>
      </c>
      <c r="R54" s="272">
        <v>4.1251000000000007</v>
      </c>
      <c r="S54" s="272">
        <v>1584.56987</v>
      </c>
      <c r="U54" s="272">
        <v>1405.5334399999999</v>
      </c>
      <c r="V54" s="272">
        <v>18.872700000000002</v>
      </c>
      <c r="W54" s="272">
        <v>0</v>
      </c>
      <c r="X54" s="272">
        <v>197.90913</v>
      </c>
      <c r="Y54" s="272">
        <v>-6.3632399999999993</v>
      </c>
      <c r="Z54" s="272">
        <v>0</v>
      </c>
      <c r="AA54" s="272">
        <v>0</v>
      </c>
      <c r="AB54" s="272">
        <v>204.27237</v>
      </c>
      <c r="AD54" s="272">
        <v>3128.6978399999998</v>
      </c>
      <c r="AE54" s="157">
        <v>1561.0711100000001</v>
      </c>
      <c r="AF54" s="184">
        <v>-42.371610000000004</v>
      </c>
      <c r="AG54" s="272">
        <v>-830.14743999999996</v>
      </c>
      <c r="AH54" s="272">
        <v>0</v>
      </c>
      <c r="AI54" s="184">
        <v>44</v>
      </c>
      <c r="AJ54" s="272">
        <v>528.85286999999994</v>
      </c>
      <c r="AL54" s="272">
        <v>17946.136999999999</v>
      </c>
      <c r="AM54" s="184">
        <v>15.26667</v>
      </c>
      <c r="AN54" s="272">
        <v>-211.88800000000001</v>
      </c>
      <c r="AO54" s="343">
        <v>4099</v>
      </c>
      <c r="AP54" s="332">
        <v>9</v>
      </c>
      <c r="AQ54" s="448"/>
      <c r="AS54" s="455">
        <v>4756.2487499999997</v>
      </c>
      <c r="AT54" s="272">
        <v>14590.875739999999</v>
      </c>
      <c r="AU54" s="450"/>
      <c r="AV54" s="334">
        <v>6364.8790899999995</v>
      </c>
      <c r="AW54" s="334">
        <v>1133.25442</v>
      </c>
      <c r="AX54" s="334">
        <v>2131.9356200000002</v>
      </c>
      <c r="AY54" s="334">
        <v>9630.0691300000017</v>
      </c>
      <c r="AZ54" s="334">
        <v>3197.23002</v>
      </c>
      <c r="BA54" s="272">
        <v>4.2516099999999994</v>
      </c>
      <c r="BB54" s="333">
        <v>478.60489000000001</v>
      </c>
      <c r="BC54" s="272">
        <v>238.70232000000001</v>
      </c>
      <c r="BD54" s="272">
        <v>57.828019999999995</v>
      </c>
      <c r="BE54" s="334">
        <v>2711.2995799999999</v>
      </c>
      <c r="BG54" s="331">
        <v>2716.2109599999999</v>
      </c>
      <c r="BH54" s="334">
        <v>0</v>
      </c>
      <c r="BI54" s="334">
        <v>0</v>
      </c>
      <c r="BJ54" s="334">
        <v>-4.9113800000000003</v>
      </c>
      <c r="BK54" s="334">
        <v>-6.3632399999999993</v>
      </c>
      <c r="BL54" s="331">
        <v>0</v>
      </c>
      <c r="BM54" s="334">
        <v>0</v>
      </c>
      <c r="BN54" s="334">
        <v>1.4518599999999999</v>
      </c>
      <c r="BP54" s="334">
        <v>3130.1496999999999</v>
      </c>
      <c r="BQ54" s="311">
        <v>2702.75027</v>
      </c>
      <c r="BR54" s="272">
        <v>-8.5493100000000002</v>
      </c>
      <c r="BS54" s="461">
        <v>-717.45133999999996</v>
      </c>
      <c r="BT54" s="272">
        <v>0</v>
      </c>
      <c r="BU54" s="272">
        <v>0</v>
      </c>
      <c r="BV54" s="333">
        <v>1256.9768300000001</v>
      </c>
      <c r="BX54" s="272">
        <v>16594.582999999999</v>
      </c>
      <c r="BY54" s="469">
        <v>6.6666699999999999</v>
      </c>
      <c r="BZ54" s="469">
        <v>-1351.5540000000001</v>
      </c>
      <c r="CA54" s="552"/>
      <c r="CB54" s="335">
        <v>9</v>
      </c>
      <c r="CC54" s="471">
        <f t="shared" si="0"/>
        <v>9</v>
      </c>
      <c r="CD54" s="558"/>
      <c r="CE54" s="272"/>
      <c r="CF54" s="262"/>
      <c r="CI54" s="158">
        <v>0</v>
      </c>
      <c r="CJ54" s="331">
        <v>4073.4281138399319</v>
      </c>
      <c r="CK54" s="331">
        <v>4097.0006091790619</v>
      </c>
      <c r="CL54" s="331">
        <v>4533.576065123455</v>
      </c>
      <c r="CM54" s="472">
        <v>4576.1615633520305</v>
      </c>
      <c r="CN54" s="472">
        <v>4775.4929368265985</v>
      </c>
      <c r="CO54" s="480">
        <v>959.03099999999995</v>
      </c>
      <c r="CP54" s="557"/>
      <c r="CQ54" s="474">
        <v>16.197790000000001</v>
      </c>
      <c r="CR54" s="474">
        <v>12.106399999999999</v>
      </c>
    </row>
    <row r="55" spans="1:96" ht="12.75" x14ac:dyDescent="0.2">
      <c r="A55" s="154">
        <v>176</v>
      </c>
      <c r="B55" s="156" t="s">
        <v>89</v>
      </c>
      <c r="C55" s="325">
        <v>4259</v>
      </c>
      <c r="D55" s="270">
        <v>8.11</v>
      </c>
      <c r="E55" s="185"/>
      <c r="G55" s="272">
        <v>4873.3320700000004</v>
      </c>
      <c r="H55" s="272">
        <v>14288.32151</v>
      </c>
      <c r="I55" s="272"/>
      <c r="J55" s="272">
        <v>5605.3402300000007</v>
      </c>
      <c r="K55" s="272">
        <v>1552.7474</v>
      </c>
      <c r="L55" s="272">
        <v>1308.62968</v>
      </c>
      <c r="M55" s="272">
        <v>8466.71731</v>
      </c>
      <c r="N55" s="272">
        <v>3248.5129999999999</v>
      </c>
      <c r="O55" s="272">
        <v>233.46208999999999</v>
      </c>
      <c r="P55" s="272">
        <v>27.536279999999998</v>
      </c>
      <c r="Q55" s="272">
        <v>373.26585999999998</v>
      </c>
      <c r="R55" s="272">
        <v>8.2699999999999996E-3</v>
      </c>
      <c r="S55" s="272">
        <v>2879.42427</v>
      </c>
      <c r="U55" s="272">
        <v>1787.50135</v>
      </c>
      <c r="V55" s="272">
        <v>0</v>
      </c>
      <c r="W55" s="272">
        <v>0</v>
      </c>
      <c r="X55" s="272">
        <v>1091.92292</v>
      </c>
      <c r="Y55" s="272">
        <v>74.340090000000004</v>
      </c>
      <c r="Z55" s="272">
        <v>280</v>
      </c>
      <c r="AA55" s="272">
        <v>0</v>
      </c>
      <c r="AB55" s="272">
        <v>737.58282999999994</v>
      </c>
      <c r="AD55" s="272">
        <v>13152.421439999998</v>
      </c>
      <c r="AE55" s="157">
        <v>2667.61591</v>
      </c>
      <c r="AF55" s="184">
        <v>-211.80835999999999</v>
      </c>
      <c r="AG55" s="272">
        <v>-969.25466000000006</v>
      </c>
      <c r="AH55" s="272">
        <v>0</v>
      </c>
      <c r="AI55" s="184">
        <v>429</v>
      </c>
      <c r="AJ55" s="272">
        <v>6565.3944499999998</v>
      </c>
      <c r="AL55" s="272">
        <v>6620.3119999999999</v>
      </c>
      <c r="AM55" s="184">
        <v>0</v>
      </c>
      <c r="AN55" s="272">
        <v>-1451.126</v>
      </c>
      <c r="AO55" s="343">
        <v>4160</v>
      </c>
      <c r="AP55" s="332">
        <v>8.5</v>
      </c>
      <c r="AQ55" s="448"/>
      <c r="AS55" s="455">
        <v>4744.0973600000007</v>
      </c>
      <c r="AT55" s="272">
        <v>13914.481619999999</v>
      </c>
      <c r="AU55" s="450"/>
      <c r="AV55" s="334">
        <v>5984.5742099999998</v>
      </c>
      <c r="AW55" s="334">
        <v>1382.1513200000002</v>
      </c>
      <c r="AX55" s="334">
        <v>1513.42264</v>
      </c>
      <c r="AY55" s="334">
        <v>8880.1481700000004</v>
      </c>
      <c r="AZ55" s="334">
        <v>2086.2190000000001</v>
      </c>
      <c r="BA55" s="272">
        <v>245.13977</v>
      </c>
      <c r="BB55" s="458">
        <v>21.045900000000003</v>
      </c>
      <c r="BC55" s="272">
        <v>370.49685999999997</v>
      </c>
      <c r="BD55" s="272">
        <v>0.16056000000000001</v>
      </c>
      <c r="BE55" s="334">
        <v>2390.4130800000003</v>
      </c>
      <c r="BG55" s="331">
        <v>1744.1945900000001</v>
      </c>
      <c r="BH55" s="331">
        <v>0</v>
      </c>
      <c r="BI55" s="334">
        <v>0</v>
      </c>
      <c r="BJ55" s="334">
        <v>646.21848999999997</v>
      </c>
      <c r="BK55" s="334">
        <v>-76.980440000000002</v>
      </c>
      <c r="BL55" s="334">
        <v>192</v>
      </c>
      <c r="BM55" s="331">
        <v>0</v>
      </c>
      <c r="BN55" s="334">
        <v>531.19893000000002</v>
      </c>
      <c r="BP55" s="334">
        <v>13683.620369999999</v>
      </c>
      <c r="BQ55" s="311">
        <v>2355.2926299999999</v>
      </c>
      <c r="BR55" s="272">
        <v>-35.120449999999998</v>
      </c>
      <c r="BS55" s="461">
        <v>-619.87121999999999</v>
      </c>
      <c r="BT55" s="272">
        <v>15</v>
      </c>
      <c r="BU55" s="272">
        <v>40.6</v>
      </c>
      <c r="BV55" s="333">
        <v>6921.3427099999999</v>
      </c>
      <c r="BX55" s="272">
        <v>5526.3159999999998</v>
      </c>
      <c r="BY55" s="469">
        <v>-9.7059999999999995</v>
      </c>
      <c r="BZ55" s="469">
        <v>-1093.9960000000001</v>
      </c>
      <c r="CA55" s="552"/>
      <c r="CB55" s="335">
        <v>8.5</v>
      </c>
      <c r="CC55" s="471">
        <f t="shared" si="0"/>
        <v>8.5</v>
      </c>
      <c r="CD55" s="558"/>
      <c r="CE55" s="272"/>
      <c r="CF55" s="262"/>
      <c r="CI55" s="158">
        <v>0</v>
      </c>
      <c r="CJ55" s="331">
        <v>2876.4825709903184</v>
      </c>
      <c r="CK55" s="331">
        <v>2599.2069529997971</v>
      </c>
      <c r="CL55" s="331">
        <v>2715.1530245422009</v>
      </c>
      <c r="CM55" s="472">
        <v>3022.8257810864243</v>
      </c>
      <c r="CN55" s="472">
        <v>3148.5103813696223</v>
      </c>
      <c r="CO55" s="480">
        <v>123.803</v>
      </c>
      <c r="CP55" s="557"/>
      <c r="CQ55" s="474">
        <v>0</v>
      </c>
      <c r="CR55" s="474">
        <v>0</v>
      </c>
    </row>
    <row r="56" spans="1:96" x14ac:dyDescent="0.2">
      <c r="A56" s="154">
        <v>177</v>
      </c>
      <c r="B56" s="156" t="s">
        <v>90</v>
      </c>
      <c r="C56" s="325">
        <v>1708</v>
      </c>
      <c r="D56" s="270">
        <v>8.3600000000000012</v>
      </c>
      <c r="E56" s="185"/>
      <c r="G56" s="272">
        <v>1955.4753999999998</v>
      </c>
      <c r="H56" s="272">
        <v>6423.1589599999998</v>
      </c>
      <c r="I56" s="272"/>
      <c r="J56" s="272">
        <v>2695.2711300000001</v>
      </c>
      <c r="K56" s="272">
        <v>1004.1798199999999</v>
      </c>
      <c r="L56" s="272">
        <v>581.36108999999999</v>
      </c>
      <c r="M56" s="272">
        <v>4280.8120399999998</v>
      </c>
      <c r="N56" s="272">
        <v>870.71</v>
      </c>
      <c r="O56" s="272">
        <v>44.870690000000003</v>
      </c>
      <c r="P56" s="272">
        <v>34.867510000000003</v>
      </c>
      <c r="Q56" s="272">
        <v>54.221029999999999</v>
      </c>
      <c r="R56" s="272">
        <v>14.943709999999999</v>
      </c>
      <c r="S56" s="272">
        <v>733.11897999999997</v>
      </c>
      <c r="U56" s="272">
        <v>673.60341000000005</v>
      </c>
      <c r="V56" s="272">
        <v>0</v>
      </c>
      <c r="W56" s="272">
        <v>0</v>
      </c>
      <c r="X56" s="272">
        <v>59.515569999999997</v>
      </c>
      <c r="Y56" s="272">
        <v>-10.57123</v>
      </c>
      <c r="Z56" s="272">
        <v>0</v>
      </c>
      <c r="AA56" s="272">
        <v>0</v>
      </c>
      <c r="AB56" s="272">
        <v>70.086799999999997</v>
      </c>
      <c r="AD56" s="272">
        <v>3786.5654600000003</v>
      </c>
      <c r="AE56" s="157">
        <v>733.11897999999997</v>
      </c>
      <c r="AF56" s="184">
        <v>0</v>
      </c>
      <c r="AG56" s="272">
        <v>-236.00807999999998</v>
      </c>
      <c r="AH56" s="272">
        <v>0</v>
      </c>
      <c r="AI56" s="184">
        <v>0</v>
      </c>
      <c r="AJ56" s="272">
        <v>2483.62111</v>
      </c>
      <c r="AL56" s="272">
        <v>1839.9691699999998</v>
      </c>
      <c r="AM56" s="184">
        <v>2</v>
      </c>
      <c r="AN56" s="272">
        <v>-625.93693000000007</v>
      </c>
      <c r="AO56" s="343">
        <v>1668</v>
      </c>
      <c r="AP56" s="332">
        <v>8.4</v>
      </c>
      <c r="AQ56" s="448"/>
      <c r="AS56" s="455">
        <v>1904.3336200000001</v>
      </c>
      <c r="AT56" s="272">
        <v>6671.2137499999999</v>
      </c>
      <c r="AU56" s="450"/>
      <c r="AV56" s="334">
        <v>2652.69508</v>
      </c>
      <c r="AW56" s="334">
        <v>1325.7070000000001</v>
      </c>
      <c r="AX56" s="334">
        <v>563.28442000000007</v>
      </c>
      <c r="AY56" s="334">
        <v>4541.6864999999998</v>
      </c>
      <c r="AZ56" s="334">
        <v>1124.75</v>
      </c>
      <c r="BA56" s="272">
        <v>58.801269999999995</v>
      </c>
      <c r="BB56" s="333">
        <v>29.56157</v>
      </c>
      <c r="BC56" s="272">
        <v>51.288089999999997</v>
      </c>
      <c r="BD56" s="272">
        <v>16.474619999999998</v>
      </c>
      <c r="BE56" s="334">
        <v>963.60954000000004</v>
      </c>
      <c r="BG56" s="331">
        <v>672.08348999999998</v>
      </c>
      <c r="BH56" s="334">
        <v>0</v>
      </c>
      <c r="BI56" s="331">
        <v>0</v>
      </c>
      <c r="BJ56" s="334">
        <v>291.52605</v>
      </c>
      <c r="BK56" s="334">
        <v>-10.57123</v>
      </c>
      <c r="BL56" s="331">
        <v>0</v>
      </c>
      <c r="BM56" s="331">
        <v>0</v>
      </c>
      <c r="BN56" s="334">
        <v>302.09728000000001</v>
      </c>
      <c r="BP56" s="334">
        <v>4088.6627400000002</v>
      </c>
      <c r="BQ56" s="311">
        <v>963.60954000000004</v>
      </c>
      <c r="BR56" s="272">
        <v>0</v>
      </c>
      <c r="BS56" s="461">
        <v>-411.53674000000001</v>
      </c>
      <c r="BT56" s="272">
        <v>48</v>
      </c>
      <c r="BU56" s="272">
        <v>0</v>
      </c>
      <c r="BV56" s="333">
        <v>2900.9996700000002</v>
      </c>
      <c r="BX56" s="272">
        <v>1652.9591699999999</v>
      </c>
      <c r="BY56" s="469">
        <v>2</v>
      </c>
      <c r="BZ56" s="469">
        <v>-187.01</v>
      </c>
      <c r="CA56" s="552"/>
      <c r="CB56" s="335">
        <v>8.4</v>
      </c>
      <c r="CC56" s="471">
        <f t="shared" si="0"/>
        <v>8.4</v>
      </c>
      <c r="CD56" s="558"/>
      <c r="CE56" s="272"/>
      <c r="CF56" s="262"/>
      <c r="CI56" s="158">
        <v>0</v>
      </c>
      <c r="CJ56" s="331">
        <v>1211.1900363681643</v>
      </c>
      <c r="CK56" s="331">
        <v>702.79379877218537</v>
      </c>
      <c r="CL56" s="331">
        <v>828.8079561227031</v>
      </c>
      <c r="CM56" s="472">
        <v>877.17214516411275</v>
      </c>
      <c r="CN56" s="472">
        <v>909.51725055333111</v>
      </c>
      <c r="CO56" s="480">
        <v>-490.11900000000003</v>
      </c>
      <c r="CP56" s="557"/>
      <c r="CQ56" s="474">
        <v>0</v>
      </c>
      <c r="CR56" s="474">
        <v>0</v>
      </c>
    </row>
    <row r="57" spans="1:96" x14ac:dyDescent="0.2">
      <c r="A57" s="154">
        <v>178</v>
      </c>
      <c r="B57" s="156" t="s">
        <v>91</v>
      </c>
      <c r="C57" s="325">
        <v>5734</v>
      </c>
      <c r="D57" s="270">
        <v>8.11</v>
      </c>
      <c r="E57" s="185"/>
      <c r="G57" s="272">
        <v>4768.0838300000005</v>
      </c>
      <c r="H57" s="272">
        <v>19813.658719999999</v>
      </c>
      <c r="I57" s="272"/>
      <c r="J57" s="272">
        <v>8299.72343</v>
      </c>
      <c r="K57" s="272">
        <v>1993.8019899999999</v>
      </c>
      <c r="L57" s="272">
        <v>1682.2318600000001</v>
      </c>
      <c r="M57" s="272">
        <v>11975.75728</v>
      </c>
      <c r="N57" s="272">
        <v>3795.3850000000002</v>
      </c>
      <c r="O57" s="272">
        <v>27.267910000000001</v>
      </c>
      <c r="P57" s="272">
        <v>397.83886999999999</v>
      </c>
      <c r="Q57" s="272">
        <v>998.56394999999998</v>
      </c>
      <c r="R57" s="272">
        <v>3.5454400000000001</v>
      </c>
      <c r="S57" s="272">
        <v>1350.01494</v>
      </c>
      <c r="U57" s="272">
        <v>2246.5745499999998</v>
      </c>
      <c r="V57" s="272">
        <v>0</v>
      </c>
      <c r="W57" s="272">
        <v>0</v>
      </c>
      <c r="X57" s="272">
        <v>-896.55961000000002</v>
      </c>
      <c r="Y57" s="272">
        <v>159.74051</v>
      </c>
      <c r="Z57" s="272">
        <v>-225</v>
      </c>
      <c r="AA57" s="272">
        <v>0</v>
      </c>
      <c r="AB57" s="272">
        <v>-831.30011999999999</v>
      </c>
      <c r="AD57" s="272">
        <v>4849.4720300000008</v>
      </c>
      <c r="AE57" s="157">
        <v>982.67378000000008</v>
      </c>
      <c r="AF57" s="184">
        <v>-367.34116</v>
      </c>
      <c r="AG57" s="272">
        <v>-1665.5991000000001</v>
      </c>
      <c r="AH57" s="272">
        <v>46.9</v>
      </c>
      <c r="AI57" s="184">
        <v>137.74199999999999</v>
      </c>
      <c r="AJ57" s="272">
        <v>763.79594999999995</v>
      </c>
      <c r="AL57" s="272">
        <v>18657.69945</v>
      </c>
      <c r="AM57" s="184">
        <v>0</v>
      </c>
      <c r="AN57" s="272">
        <v>766.96506000000011</v>
      </c>
      <c r="AO57" s="343">
        <v>5674</v>
      </c>
      <c r="AP57" s="332">
        <v>8.1</v>
      </c>
      <c r="AQ57" s="448"/>
      <c r="AS57" s="455">
        <v>4930.0787699999992</v>
      </c>
      <c r="AT57" s="272">
        <v>19517.734550000001</v>
      </c>
      <c r="AU57" s="450"/>
      <c r="AV57" s="334">
        <v>8453.64653</v>
      </c>
      <c r="AW57" s="334">
        <v>1688.34781</v>
      </c>
      <c r="AX57" s="334">
        <v>1863.1487099999999</v>
      </c>
      <c r="AY57" s="334">
        <v>12005.143050000001</v>
      </c>
      <c r="AZ57" s="334">
        <v>4027.5149999999999</v>
      </c>
      <c r="BA57" s="272">
        <v>29.338919999999998</v>
      </c>
      <c r="BB57" s="333">
        <v>536.90204000000006</v>
      </c>
      <c r="BC57" s="272">
        <v>1482.3863200000001</v>
      </c>
      <c r="BD57" s="272">
        <v>4.27163</v>
      </c>
      <c r="BE57" s="334">
        <v>2415.55384</v>
      </c>
      <c r="BG57" s="331">
        <v>2262.252</v>
      </c>
      <c r="BH57" s="334">
        <v>0</v>
      </c>
      <c r="BI57" s="334">
        <v>0</v>
      </c>
      <c r="BJ57" s="334">
        <v>153.30184</v>
      </c>
      <c r="BK57" s="334">
        <v>-24.64875</v>
      </c>
      <c r="BL57" s="331">
        <v>0</v>
      </c>
      <c r="BM57" s="331">
        <v>0</v>
      </c>
      <c r="BN57" s="334">
        <v>177.95059000000001</v>
      </c>
      <c r="BP57" s="334">
        <v>5027.4226200000003</v>
      </c>
      <c r="BQ57" s="311">
        <v>2319.9708100000003</v>
      </c>
      <c r="BR57" s="272">
        <v>-95.583029999999994</v>
      </c>
      <c r="BS57" s="461">
        <v>-3224.2805800000001</v>
      </c>
      <c r="BT57" s="272">
        <v>43.607980000000005</v>
      </c>
      <c r="BU57" s="272">
        <v>110.75</v>
      </c>
      <c r="BV57" s="333">
        <v>2928.7787999999996</v>
      </c>
      <c r="BX57" s="272">
        <v>21366.15292</v>
      </c>
      <c r="BY57" s="469">
        <v>0</v>
      </c>
      <c r="BZ57" s="469">
        <v>2708.4534700000004</v>
      </c>
      <c r="CA57" s="552"/>
      <c r="CB57" s="335">
        <v>9.1</v>
      </c>
      <c r="CC57" s="471">
        <f t="shared" si="0"/>
        <v>9.1</v>
      </c>
      <c r="CD57" s="558"/>
      <c r="CE57" s="272"/>
      <c r="CF57" s="262"/>
      <c r="CI57" s="158">
        <v>0</v>
      </c>
      <c r="CJ57" s="331">
        <v>3986.200973435311</v>
      </c>
      <c r="CK57" s="331">
        <v>3975.3140964991685</v>
      </c>
      <c r="CL57" s="331">
        <v>3050.4730173066732</v>
      </c>
      <c r="CM57" s="472">
        <v>3567.4287922401586</v>
      </c>
      <c r="CN57" s="472">
        <v>3768.6969614136083</v>
      </c>
      <c r="CO57" s="480">
        <v>-558.42700000000002</v>
      </c>
      <c r="CP57" s="557"/>
      <c r="CQ57" s="474">
        <v>0</v>
      </c>
      <c r="CR57" s="474">
        <v>0</v>
      </c>
    </row>
    <row r="58" spans="1:96" x14ac:dyDescent="0.2">
      <c r="A58" s="154">
        <v>179</v>
      </c>
      <c r="B58" s="156" t="s">
        <v>92</v>
      </c>
      <c r="C58" s="325">
        <v>147746</v>
      </c>
      <c r="D58" s="270">
        <v>7.3599999999999994</v>
      </c>
      <c r="E58" s="185"/>
      <c r="G58" s="272">
        <v>87581.259980000003</v>
      </c>
      <c r="H58" s="272">
        <v>427217.73783999996</v>
      </c>
      <c r="I58" s="272"/>
      <c r="J58" s="272">
        <v>241856.52132</v>
      </c>
      <c r="K58" s="272">
        <v>35310.819170000002</v>
      </c>
      <c r="L58" s="272">
        <v>57993.304340000002</v>
      </c>
      <c r="M58" s="272">
        <v>335160.64483</v>
      </c>
      <c r="N58" s="272">
        <v>57907.10383</v>
      </c>
      <c r="O58" s="272">
        <v>7439.4547300000004</v>
      </c>
      <c r="P58" s="272">
        <v>5363.2784099999999</v>
      </c>
      <c r="Q58" s="272">
        <v>7998.7669400000004</v>
      </c>
      <c r="R58" s="272">
        <v>23.152419999999999</v>
      </c>
      <c r="S58" s="272">
        <v>66362.900869999998</v>
      </c>
      <c r="U58" s="272">
        <v>56897.845679999999</v>
      </c>
      <c r="V58" s="272">
        <v>0</v>
      </c>
      <c r="W58" s="272">
        <v>0</v>
      </c>
      <c r="X58" s="272">
        <v>9465.0551899999991</v>
      </c>
      <c r="Y58" s="272">
        <v>-340.44074000000001</v>
      </c>
      <c r="Z58" s="272">
        <v>0</v>
      </c>
      <c r="AA58" s="272">
        <v>-353.53343999999998</v>
      </c>
      <c r="AB58" s="272">
        <v>10159.029369999998</v>
      </c>
      <c r="AD58" s="272">
        <v>111681.12201000001</v>
      </c>
      <c r="AE58" s="157">
        <v>65650.211360000001</v>
      </c>
      <c r="AF58" s="184">
        <v>-712.68951000000004</v>
      </c>
      <c r="AG58" s="272">
        <v>-73394.986680000002</v>
      </c>
      <c r="AH58" s="272">
        <v>3010.4778799999999</v>
      </c>
      <c r="AI58" s="184">
        <v>5583.5041100000008</v>
      </c>
      <c r="AJ58" s="272">
        <v>3756.0507900000002</v>
      </c>
      <c r="AL58" s="272">
        <v>344636.68472000002</v>
      </c>
      <c r="AM58" s="184">
        <v>299.02168999999998</v>
      </c>
      <c r="AN58" s="272">
        <v>5151.0707899999998</v>
      </c>
      <c r="AO58" s="343">
        <v>149194</v>
      </c>
      <c r="AP58" s="332">
        <v>8</v>
      </c>
      <c r="AQ58" s="448"/>
      <c r="AS58" s="455">
        <v>92643.576709999994</v>
      </c>
      <c r="AT58" s="272">
        <v>419360.28642999998</v>
      </c>
      <c r="AU58" s="450"/>
      <c r="AV58" s="334">
        <v>256633.19297999999</v>
      </c>
      <c r="AW58" s="334">
        <v>27703.850750000001</v>
      </c>
      <c r="AX58" s="334">
        <v>58798.06151</v>
      </c>
      <c r="AY58" s="334">
        <v>343135.10524</v>
      </c>
      <c r="AZ58" s="334">
        <v>29962.616999999998</v>
      </c>
      <c r="BA58" s="272">
        <v>9996.1814400000003</v>
      </c>
      <c r="BB58" s="333">
        <v>9479.5790899999993</v>
      </c>
      <c r="BC58" s="272">
        <v>14484.55395</v>
      </c>
      <c r="BD58" s="272">
        <v>35.311320000000002</v>
      </c>
      <c r="BE58" s="334">
        <v>64132.661369999994</v>
      </c>
      <c r="BG58" s="331">
        <v>58248.546470000001</v>
      </c>
      <c r="BH58" s="334">
        <v>0</v>
      </c>
      <c r="BI58" s="331">
        <v>0</v>
      </c>
      <c r="BJ58" s="334">
        <v>5884.1149000000005</v>
      </c>
      <c r="BK58" s="334">
        <v>-340.44074000000001</v>
      </c>
      <c r="BL58" s="331">
        <v>0</v>
      </c>
      <c r="BM58" s="334">
        <v>0</v>
      </c>
      <c r="BN58" s="334">
        <v>6224.5556399999996</v>
      </c>
      <c r="BP58" s="334">
        <v>117905.67765000001</v>
      </c>
      <c r="BQ58" s="311">
        <v>54363.295829999995</v>
      </c>
      <c r="BR58" s="272">
        <v>-9769.3655399999989</v>
      </c>
      <c r="BS58" s="461">
        <v>-76030.440989999988</v>
      </c>
      <c r="BT58" s="272">
        <v>1506.4121399999999</v>
      </c>
      <c r="BU58" s="272">
        <v>7571.0581299999994</v>
      </c>
      <c r="BV58" s="333">
        <v>9408.5184399999998</v>
      </c>
      <c r="BX58" s="272">
        <v>365062.69855999999</v>
      </c>
      <c r="BY58" s="469">
        <v>558.14374999999995</v>
      </c>
      <c r="BZ58" s="469">
        <v>20426.01384</v>
      </c>
      <c r="CA58" s="552"/>
      <c r="CB58" s="335">
        <v>8.1</v>
      </c>
      <c r="CC58" s="471">
        <f t="shared" si="0"/>
        <v>8.1</v>
      </c>
      <c r="CD58" s="558"/>
      <c r="CE58" s="272"/>
      <c r="CF58" s="262"/>
      <c r="CI58" s="158">
        <v>0</v>
      </c>
      <c r="CJ58" s="331">
        <v>48131.760551099826</v>
      </c>
      <c r="CK58" s="331">
        <v>58953.078791639578</v>
      </c>
      <c r="CL58" s="331">
        <v>57938.577774882709</v>
      </c>
      <c r="CM58" s="472">
        <v>66970.202582004422</v>
      </c>
      <c r="CN58" s="472">
        <v>69294.919744050305</v>
      </c>
      <c r="CO58" s="480">
        <v>-23428.423999999999</v>
      </c>
      <c r="CP58" s="557"/>
      <c r="CQ58" s="474">
        <v>2879.83923</v>
      </c>
      <c r="CR58" s="474">
        <v>2785.8038700000002</v>
      </c>
    </row>
    <row r="59" spans="1:96" x14ac:dyDescent="0.2">
      <c r="A59" s="154">
        <v>181</v>
      </c>
      <c r="B59" s="156" t="s">
        <v>93</v>
      </c>
      <c r="C59" s="325">
        <v>1682</v>
      </c>
      <c r="D59" s="270">
        <v>9.86</v>
      </c>
      <c r="E59" s="185"/>
      <c r="G59" s="272">
        <v>703.59104000000002</v>
      </c>
      <c r="H59" s="272">
        <v>4940.47732</v>
      </c>
      <c r="I59" s="272"/>
      <c r="J59" s="272">
        <v>2869.0156200000001</v>
      </c>
      <c r="K59" s="272">
        <v>320.52659999999997</v>
      </c>
      <c r="L59" s="272">
        <v>729.41681999999992</v>
      </c>
      <c r="M59" s="272">
        <v>3918.9590400000002</v>
      </c>
      <c r="N59" s="272">
        <v>2050.1860000000001</v>
      </c>
      <c r="O59" s="272">
        <v>0</v>
      </c>
      <c r="P59" s="272">
        <v>387.6977</v>
      </c>
      <c r="Q59" s="272">
        <v>4.09931</v>
      </c>
      <c r="R59" s="272">
        <v>11.854010000000001</v>
      </c>
      <c r="S59" s="272">
        <v>1336.80636</v>
      </c>
      <c r="U59" s="272">
        <v>915.20256999999992</v>
      </c>
      <c r="V59" s="272">
        <v>0</v>
      </c>
      <c r="W59" s="272">
        <v>0</v>
      </c>
      <c r="X59" s="272">
        <v>421.60379</v>
      </c>
      <c r="Y59" s="272">
        <v>0</v>
      </c>
      <c r="Z59" s="272">
        <v>0</v>
      </c>
      <c r="AA59" s="272">
        <v>0</v>
      </c>
      <c r="AB59" s="272">
        <v>421.60379</v>
      </c>
      <c r="AD59" s="272">
        <v>619.02179999999998</v>
      </c>
      <c r="AE59" s="157">
        <v>1350.2505100000001</v>
      </c>
      <c r="AF59" s="184">
        <v>13.44415</v>
      </c>
      <c r="AG59" s="272">
        <v>-287.85659000000004</v>
      </c>
      <c r="AH59" s="272">
        <v>0</v>
      </c>
      <c r="AI59" s="184">
        <v>308.18604999999997</v>
      </c>
      <c r="AJ59" s="272">
        <v>550.33657999999991</v>
      </c>
      <c r="AL59" s="272">
        <v>11246.894679999999</v>
      </c>
      <c r="AM59" s="184">
        <v>-67</v>
      </c>
      <c r="AN59" s="272">
        <v>-855.87896000000001</v>
      </c>
      <c r="AO59" s="343">
        <v>1658</v>
      </c>
      <c r="AP59" s="332">
        <v>9.9</v>
      </c>
      <c r="AQ59" s="448"/>
      <c r="AS59" s="455">
        <v>956.27517</v>
      </c>
      <c r="AT59" s="272">
        <v>5084.47973</v>
      </c>
      <c r="AU59" s="450"/>
      <c r="AV59" s="334">
        <v>2947.1195200000002</v>
      </c>
      <c r="AW59" s="334">
        <v>268.98884000000004</v>
      </c>
      <c r="AX59" s="334">
        <v>816.65328</v>
      </c>
      <c r="AY59" s="334">
        <v>4032.7616400000002</v>
      </c>
      <c r="AZ59" s="334">
        <v>1813.63</v>
      </c>
      <c r="BA59" s="272">
        <v>1.65</v>
      </c>
      <c r="BB59" s="333">
        <v>467.59522999999996</v>
      </c>
      <c r="BC59" s="272">
        <v>4.3053400000000002</v>
      </c>
      <c r="BD59" s="272">
        <v>1.7230000000000001</v>
      </c>
      <c r="BE59" s="334">
        <v>1254.82419</v>
      </c>
      <c r="BG59" s="331">
        <v>915.07978000000003</v>
      </c>
      <c r="BH59" s="331">
        <v>0</v>
      </c>
      <c r="BI59" s="331">
        <v>200.45085</v>
      </c>
      <c r="BJ59" s="334">
        <v>139.29355999999999</v>
      </c>
      <c r="BK59" s="331">
        <v>0</v>
      </c>
      <c r="BL59" s="331">
        <v>0</v>
      </c>
      <c r="BM59" s="331">
        <v>0</v>
      </c>
      <c r="BN59" s="334">
        <v>139.29355999999999</v>
      </c>
      <c r="BP59" s="334">
        <v>392.33416000000005</v>
      </c>
      <c r="BQ59" s="311">
        <v>895.19385</v>
      </c>
      <c r="BR59" s="272">
        <v>-159.17948999999999</v>
      </c>
      <c r="BS59" s="461">
        <v>-292.25142</v>
      </c>
      <c r="BT59" s="272">
        <v>14.8</v>
      </c>
      <c r="BU59" s="272">
        <v>167.8</v>
      </c>
      <c r="BV59" s="333">
        <v>678.25681000000009</v>
      </c>
      <c r="BX59" s="272">
        <v>10356.315719999999</v>
      </c>
      <c r="BY59" s="469">
        <v>113.18232</v>
      </c>
      <c r="BZ59" s="469">
        <v>-890.57895999999994</v>
      </c>
      <c r="CA59" s="552"/>
      <c r="CB59" s="335">
        <v>10</v>
      </c>
      <c r="CC59" s="471">
        <f t="shared" si="0"/>
        <v>10</v>
      </c>
      <c r="CD59" s="558"/>
      <c r="CE59" s="272"/>
      <c r="CF59" s="262"/>
      <c r="CG59" s="260"/>
      <c r="CI59" s="158">
        <v>0</v>
      </c>
      <c r="CJ59" s="331">
        <v>1972.6274528059996</v>
      </c>
      <c r="CK59" s="331">
        <v>1955.8490239266455</v>
      </c>
      <c r="CL59" s="331">
        <v>1925.4969444353403</v>
      </c>
      <c r="CM59" s="472">
        <v>2050.5767421630762</v>
      </c>
      <c r="CN59" s="472">
        <v>2159.2427607489408</v>
      </c>
      <c r="CO59" s="480">
        <v>-387.18</v>
      </c>
      <c r="CP59" s="557"/>
      <c r="CQ59" s="474">
        <v>0</v>
      </c>
      <c r="CR59" s="474">
        <v>0</v>
      </c>
    </row>
    <row r="60" spans="1:96" x14ac:dyDescent="0.2">
      <c r="A60" s="154">
        <v>182</v>
      </c>
      <c r="B60" s="156" t="s">
        <v>94</v>
      </c>
      <c r="C60" s="325">
        <v>19182</v>
      </c>
      <c r="D60" s="270">
        <v>8.36</v>
      </c>
      <c r="E60" s="185"/>
      <c r="G60" s="272">
        <v>21495.622090000001</v>
      </c>
      <c r="H60" s="272">
        <v>66697.795599999998</v>
      </c>
      <c r="I60" s="272"/>
      <c r="J60" s="272">
        <v>32896.440649999997</v>
      </c>
      <c r="K60" s="272">
        <v>8163.5825100000002</v>
      </c>
      <c r="L60" s="272">
        <v>6284.0543499999994</v>
      </c>
      <c r="M60" s="272">
        <v>47344.077509999996</v>
      </c>
      <c r="N60" s="272">
        <v>7089.2780000000002</v>
      </c>
      <c r="O60" s="272">
        <v>156.08189000000002</v>
      </c>
      <c r="P60" s="272">
        <v>663.03422</v>
      </c>
      <c r="Q60" s="272">
        <v>248.54469</v>
      </c>
      <c r="R60" s="272">
        <v>11.477870000000001</v>
      </c>
      <c r="S60" s="272">
        <v>9240.8655600000002</v>
      </c>
      <c r="U60" s="272">
        <v>8275.6538</v>
      </c>
      <c r="V60" s="272">
        <v>0</v>
      </c>
      <c r="W60" s="272">
        <v>0</v>
      </c>
      <c r="X60" s="272">
        <v>965.21176000000003</v>
      </c>
      <c r="Y60" s="272">
        <v>-246.61126000000002</v>
      </c>
      <c r="Z60" s="272">
        <v>0</v>
      </c>
      <c r="AA60" s="272">
        <v>0</v>
      </c>
      <c r="AB60" s="272">
        <v>1211.82302</v>
      </c>
      <c r="AD60" s="272">
        <v>-2302.2746099999995</v>
      </c>
      <c r="AE60" s="157">
        <v>7677.4133099999999</v>
      </c>
      <c r="AF60" s="184">
        <v>-1563.45225</v>
      </c>
      <c r="AG60" s="272">
        <v>-5254.1428900000001</v>
      </c>
      <c r="AH60" s="272">
        <v>52.2</v>
      </c>
      <c r="AI60" s="184">
        <v>3326.2345499999997</v>
      </c>
      <c r="AJ60" s="272">
        <v>7268.7507100000003</v>
      </c>
      <c r="AL60" s="272">
        <v>27543.524890000001</v>
      </c>
      <c r="AM60" s="184">
        <v>154.73320000000001</v>
      </c>
      <c r="AN60" s="272">
        <v>-6423.5242099999996</v>
      </c>
      <c r="AO60" s="343">
        <v>19116</v>
      </c>
      <c r="AP60" s="332">
        <v>9.4</v>
      </c>
      <c r="AQ60" s="448"/>
      <c r="AS60" s="455">
        <v>21522.291519999999</v>
      </c>
      <c r="AT60" s="272">
        <v>65975.193870000003</v>
      </c>
      <c r="AU60" s="450"/>
      <c r="AV60" s="334">
        <v>37656.756689999995</v>
      </c>
      <c r="AW60" s="334">
        <v>6924.8530300000002</v>
      </c>
      <c r="AX60" s="334">
        <v>6134.4936200000002</v>
      </c>
      <c r="AY60" s="334">
        <v>50716.103340000001</v>
      </c>
      <c r="AZ60" s="334">
        <v>1951.626</v>
      </c>
      <c r="BA60" s="272">
        <v>199.97201999999999</v>
      </c>
      <c r="BB60" s="333">
        <v>646.44394</v>
      </c>
      <c r="BC60" s="272">
        <v>441.52303000000001</v>
      </c>
      <c r="BD60" s="272">
        <v>486.04922999999997</v>
      </c>
      <c r="BE60" s="334">
        <v>7914.9061200000006</v>
      </c>
      <c r="BG60" s="331">
        <v>7822.2663200000006</v>
      </c>
      <c r="BH60" s="331">
        <v>0</v>
      </c>
      <c r="BI60" s="331">
        <v>0</v>
      </c>
      <c r="BJ60" s="334">
        <v>92.639800000000008</v>
      </c>
      <c r="BK60" s="334">
        <v>-246.61126000000002</v>
      </c>
      <c r="BL60" s="334">
        <v>0</v>
      </c>
      <c r="BM60" s="331">
        <v>0</v>
      </c>
      <c r="BN60" s="334">
        <v>339.25106</v>
      </c>
      <c r="BP60" s="334">
        <v>-1963.0235499999999</v>
      </c>
      <c r="BQ60" s="311">
        <v>10318.477419999999</v>
      </c>
      <c r="BR60" s="272">
        <v>2403.5712999999996</v>
      </c>
      <c r="BS60" s="461">
        <v>-4107.0841099999998</v>
      </c>
      <c r="BT60" s="272">
        <v>129.036</v>
      </c>
      <c r="BU60" s="272">
        <v>338.63365999999996</v>
      </c>
      <c r="BV60" s="333">
        <v>8925.7818900000002</v>
      </c>
      <c r="BX60" s="272">
        <v>23340.988960000002</v>
      </c>
      <c r="BY60" s="469">
        <v>22.31324</v>
      </c>
      <c r="BZ60" s="469">
        <v>-4202.53593</v>
      </c>
      <c r="CA60" s="552"/>
      <c r="CB60" s="335">
        <v>9.4000000000000021</v>
      </c>
      <c r="CC60" s="471">
        <f t="shared" si="0"/>
        <v>9.4000000000000021</v>
      </c>
      <c r="CD60" s="558"/>
      <c r="CE60" s="272"/>
      <c r="CF60" s="262"/>
      <c r="CI60" s="158">
        <v>0</v>
      </c>
      <c r="CJ60" s="331">
        <v>4112.0488492642471</v>
      </c>
      <c r="CK60" s="331">
        <v>3670.6264974826054</v>
      </c>
      <c r="CL60" s="331">
        <v>4556.8399147991404</v>
      </c>
      <c r="CM60" s="472">
        <v>4611.3242578774671</v>
      </c>
      <c r="CN60" s="472">
        <v>4131.1920208792335</v>
      </c>
      <c r="CO60" s="480">
        <v>-1366.107</v>
      </c>
      <c r="CP60" s="557"/>
      <c r="CQ60" s="474">
        <v>279.56907000000001</v>
      </c>
      <c r="CR60" s="474">
        <v>191.07724999999999</v>
      </c>
    </row>
    <row r="61" spans="1:96" x14ac:dyDescent="0.2">
      <c r="A61" s="154">
        <v>186</v>
      </c>
      <c r="B61" s="156" t="s">
        <v>95</v>
      </c>
      <c r="C61" s="325">
        <v>46490</v>
      </c>
      <c r="D61" s="270">
        <v>7.61</v>
      </c>
      <c r="E61" s="185"/>
      <c r="G61" s="272">
        <v>38164.822540000001</v>
      </c>
      <c r="H61" s="272">
        <v>142725.47788999998</v>
      </c>
      <c r="I61" s="272"/>
      <c r="J61" s="272">
        <v>98811.056469999996</v>
      </c>
      <c r="K61" s="272">
        <v>6442.47912</v>
      </c>
      <c r="L61" s="272">
        <v>18599.818199999998</v>
      </c>
      <c r="M61" s="272">
        <v>123853.35379000001</v>
      </c>
      <c r="N61" s="272">
        <v>18843.337</v>
      </c>
      <c r="O61" s="272">
        <v>227.14971</v>
      </c>
      <c r="P61" s="272">
        <v>6523.1523299999999</v>
      </c>
      <c r="Q61" s="272">
        <v>897.26468</v>
      </c>
      <c r="R61" s="272">
        <v>31.153689999999997</v>
      </c>
      <c r="S61" s="272">
        <v>34280.389170000002</v>
      </c>
      <c r="U61" s="272">
        <v>24456.232940000002</v>
      </c>
      <c r="V61" s="272">
        <v>0</v>
      </c>
      <c r="W61" s="272">
        <v>0</v>
      </c>
      <c r="X61" s="272">
        <v>9824.1562300000005</v>
      </c>
      <c r="Y61" s="272">
        <v>-93.25036999999999</v>
      </c>
      <c r="Z61" s="272">
        <v>0</v>
      </c>
      <c r="AA61" s="272">
        <v>0</v>
      </c>
      <c r="AB61" s="272">
        <v>9917.4066000000003</v>
      </c>
      <c r="AD61" s="272">
        <v>20107.954140000002</v>
      </c>
      <c r="AE61" s="157">
        <v>29825.290929999999</v>
      </c>
      <c r="AF61" s="184">
        <v>-4455.0982400000003</v>
      </c>
      <c r="AG61" s="272">
        <v>-37613.769840000001</v>
      </c>
      <c r="AH61" s="272">
        <v>613.37142000000006</v>
      </c>
      <c r="AI61" s="184">
        <v>11844.513210000001</v>
      </c>
      <c r="AJ61" s="272">
        <v>5330.0716600000005</v>
      </c>
      <c r="AL61" s="272">
        <v>254751.09383</v>
      </c>
      <c r="AM61" s="184">
        <v>0</v>
      </c>
      <c r="AN61" s="272">
        <v>3340.0012000000002</v>
      </c>
      <c r="AO61" s="343">
        <v>46871</v>
      </c>
      <c r="AP61" s="332">
        <v>7.6</v>
      </c>
      <c r="AQ61" s="448"/>
      <c r="AS61" s="455">
        <v>42248.603670000004</v>
      </c>
      <c r="AT61" s="272">
        <v>143681.94062000001</v>
      </c>
      <c r="AU61" s="450"/>
      <c r="AV61" s="334">
        <v>94717.147920000003</v>
      </c>
      <c r="AW61" s="334">
        <v>4876.0400599999994</v>
      </c>
      <c r="AX61" s="334">
        <v>18863.381550000002</v>
      </c>
      <c r="AY61" s="334">
        <v>118456.56953000001</v>
      </c>
      <c r="AZ61" s="334">
        <v>12010.942999999999</v>
      </c>
      <c r="BA61" s="272">
        <v>1336.1156699999999</v>
      </c>
      <c r="BB61" s="333">
        <v>8086.5000199999995</v>
      </c>
      <c r="BC61" s="272">
        <v>556.10259999999994</v>
      </c>
      <c r="BD61" s="272">
        <v>35.715379999999996</v>
      </c>
      <c r="BE61" s="334">
        <v>24287.508329999997</v>
      </c>
      <c r="BG61" s="331">
        <v>23004.756089999999</v>
      </c>
      <c r="BH61" s="334">
        <v>0</v>
      </c>
      <c r="BI61" s="331">
        <v>0</v>
      </c>
      <c r="BJ61" s="334">
        <v>1282.75224</v>
      </c>
      <c r="BK61" s="331">
        <v>-82.829639999999998</v>
      </c>
      <c r="BL61" s="331">
        <v>0</v>
      </c>
      <c r="BM61" s="331">
        <v>0</v>
      </c>
      <c r="BN61" s="334">
        <v>1365.58188</v>
      </c>
      <c r="BP61" s="334">
        <v>21473.53602</v>
      </c>
      <c r="BQ61" s="311">
        <v>20591.707449999998</v>
      </c>
      <c r="BR61" s="272">
        <v>-3695.8008799999998</v>
      </c>
      <c r="BS61" s="461">
        <v>-34433.860979999998</v>
      </c>
      <c r="BT61" s="272">
        <v>801.59190000000001</v>
      </c>
      <c r="BU61" s="272">
        <v>8159.4866500000007</v>
      </c>
      <c r="BV61" s="333">
        <v>3973.8772200000003</v>
      </c>
      <c r="BX61" s="272">
        <v>254074.98068000001</v>
      </c>
      <c r="BY61" s="469">
        <v>0</v>
      </c>
      <c r="BZ61" s="469">
        <v>-676.11315000000002</v>
      </c>
      <c r="CA61" s="552"/>
      <c r="CB61" s="335">
        <v>7.6</v>
      </c>
      <c r="CC61" s="471">
        <f t="shared" si="0"/>
        <v>7.6</v>
      </c>
      <c r="CD61" s="558"/>
      <c r="CE61" s="272"/>
      <c r="CF61" s="262"/>
      <c r="CI61" s="158">
        <v>0</v>
      </c>
      <c r="CJ61" s="331">
        <v>19109.492652774014</v>
      </c>
      <c r="CK61" s="331">
        <v>22505.790632689386</v>
      </c>
      <c r="CL61" s="331">
        <v>22991.734677213142</v>
      </c>
      <c r="CM61" s="472">
        <v>26110.101356478495</v>
      </c>
      <c r="CN61" s="472">
        <v>26537.474088305316</v>
      </c>
      <c r="CO61" s="480">
        <v>2290.989</v>
      </c>
      <c r="CP61" s="557"/>
      <c r="CQ61" s="474">
        <v>1574.2453600000001</v>
      </c>
      <c r="CR61" s="474">
        <v>1483.3298799999998</v>
      </c>
    </row>
    <row r="62" spans="1:96" x14ac:dyDescent="0.2">
      <c r="A62" s="154">
        <v>202</v>
      </c>
      <c r="B62" s="156" t="s">
        <v>96</v>
      </c>
      <c r="C62" s="325">
        <v>36339</v>
      </c>
      <c r="D62" s="270">
        <v>7.61</v>
      </c>
      <c r="E62" s="185"/>
      <c r="G62" s="272">
        <v>25285.500190000002</v>
      </c>
      <c r="H62" s="272">
        <v>117487.22073</v>
      </c>
      <c r="I62" s="272"/>
      <c r="J62" s="272">
        <v>74901.562239999999</v>
      </c>
      <c r="K62" s="272">
        <v>7091.6183899999996</v>
      </c>
      <c r="L62" s="272">
        <v>8614.7875000000004</v>
      </c>
      <c r="M62" s="272">
        <v>90607.968129999994</v>
      </c>
      <c r="N62" s="272">
        <v>24172.685000000001</v>
      </c>
      <c r="O62" s="272">
        <v>871.06909999999993</v>
      </c>
      <c r="P62" s="272">
        <v>3948.2426399999999</v>
      </c>
      <c r="Q62" s="272">
        <v>4821.4147800000001</v>
      </c>
      <c r="R62" s="272">
        <v>3604.9381699999999</v>
      </c>
      <c r="S62" s="272">
        <v>21067.39401</v>
      </c>
      <c r="U62" s="272">
        <v>10841.27475</v>
      </c>
      <c r="V62" s="272">
        <v>0</v>
      </c>
      <c r="W62" s="272">
        <v>0</v>
      </c>
      <c r="X62" s="272">
        <v>10226.119259999999</v>
      </c>
      <c r="Y62" s="272">
        <v>-16.66667</v>
      </c>
      <c r="Z62" s="272">
        <v>0</v>
      </c>
      <c r="AA62" s="272">
        <v>0</v>
      </c>
      <c r="AB62" s="272">
        <v>10242.78593</v>
      </c>
      <c r="AD62" s="272">
        <v>54639.253279999997</v>
      </c>
      <c r="AE62" s="157">
        <v>20661.446969999997</v>
      </c>
      <c r="AF62" s="184">
        <v>-405.94703999999996</v>
      </c>
      <c r="AG62" s="272">
        <v>-37797.505060000003</v>
      </c>
      <c r="AH62" s="272">
        <v>168.75</v>
      </c>
      <c r="AI62" s="184">
        <v>865.61953000000005</v>
      </c>
      <c r="AJ62" s="272">
        <v>28957.22465</v>
      </c>
      <c r="AL62" s="272">
        <v>113875</v>
      </c>
      <c r="AM62" s="184">
        <v>-4055.4083999999998</v>
      </c>
      <c r="AN62" s="272">
        <v>20500</v>
      </c>
      <c r="AO62" s="343">
        <v>36551</v>
      </c>
      <c r="AP62" s="332">
        <v>7.6</v>
      </c>
      <c r="AQ62" s="448"/>
      <c r="AS62" s="455">
        <v>26278.82634</v>
      </c>
      <c r="AT62" s="272">
        <v>120430.79861</v>
      </c>
      <c r="AU62" s="450"/>
      <c r="AV62" s="334">
        <v>73998.01215000001</v>
      </c>
      <c r="AW62" s="334">
        <v>5310.3612999999996</v>
      </c>
      <c r="AX62" s="334">
        <v>9267.0826799999995</v>
      </c>
      <c r="AY62" s="334">
        <v>88575.456129999991</v>
      </c>
      <c r="AZ62" s="334">
        <v>25102.546999999999</v>
      </c>
      <c r="BA62" s="272">
        <v>278.58697999999998</v>
      </c>
      <c r="BB62" s="333">
        <v>3924.93678</v>
      </c>
      <c r="BC62" s="272">
        <v>1676.44894</v>
      </c>
      <c r="BD62" s="272">
        <v>3.0424499999999997</v>
      </c>
      <c r="BE62" s="334">
        <v>17905.640059999998</v>
      </c>
      <c r="BG62" s="331">
        <v>11443.233400000001</v>
      </c>
      <c r="BH62" s="331">
        <v>0</v>
      </c>
      <c r="BI62" s="331">
        <v>0</v>
      </c>
      <c r="BJ62" s="334">
        <v>6462.4066600000006</v>
      </c>
      <c r="BK62" s="331">
        <v>-16.66667</v>
      </c>
      <c r="BL62" s="334">
        <v>0</v>
      </c>
      <c r="BM62" s="331">
        <v>0</v>
      </c>
      <c r="BN62" s="334">
        <v>6479.0733499999997</v>
      </c>
      <c r="BP62" s="334">
        <v>61118.326630000003</v>
      </c>
      <c r="BQ62" s="311">
        <v>15515.553019999999</v>
      </c>
      <c r="BR62" s="272">
        <v>-2390.0870399999999</v>
      </c>
      <c r="BS62" s="461">
        <v>-52170.105499999998</v>
      </c>
      <c r="BT62" s="272">
        <v>341.45</v>
      </c>
      <c r="BU62" s="272">
        <v>3528.5259900000001</v>
      </c>
      <c r="BV62" s="333">
        <v>6934.5739000000003</v>
      </c>
      <c r="BX62" s="272">
        <v>124375</v>
      </c>
      <c r="BY62" s="469">
        <v>155.4084</v>
      </c>
      <c r="BZ62" s="469">
        <v>10500</v>
      </c>
      <c r="CA62" s="552"/>
      <c r="CB62" s="335">
        <v>7.6</v>
      </c>
      <c r="CC62" s="471">
        <f t="shared" si="0"/>
        <v>7.6</v>
      </c>
      <c r="CD62" s="558"/>
      <c r="CE62" s="272"/>
      <c r="CF62" s="262"/>
      <c r="CI62" s="158">
        <v>0</v>
      </c>
      <c r="CJ62" s="331">
        <v>27233.997605334713</v>
      </c>
      <c r="CK62" s="331">
        <v>27115.574306485491</v>
      </c>
      <c r="CL62" s="331">
        <v>27314.148697882985</v>
      </c>
      <c r="CM62" s="472">
        <v>29613.682732606008</v>
      </c>
      <c r="CN62" s="472">
        <v>30645.219109682301</v>
      </c>
      <c r="CO62" s="480">
        <v>-3858.9279999999999</v>
      </c>
      <c r="CP62" s="557"/>
      <c r="CQ62" s="474">
        <v>349.15834999999998</v>
      </c>
      <c r="CR62" s="474">
        <v>352.55250999999998</v>
      </c>
    </row>
    <row r="63" spans="1:96" x14ac:dyDescent="0.2">
      <c r="A63" s="154">
        <v>204</v>
      </c>
      <c r="B63" s="156" t="s">
        <v>97</v>
      </c>
      <c r="C63" s="325">
        <v>2628</v>
      </c>
      <c r="D63" s="270">
        <v>9.36</v>
      </c>
      <c r="E63" s="185"/>
      <c r="G63" s="272">
        <v>1890.3164299999999</v>
      </c>
      <c r="H63" s="272">
        <v>8374.8435599999993</v>
      </c>
      <c r="I63" s="272"/>
      <c r="J63" s="272">
        <v>3822.8761199999999</v>
      </c>
      <c r="K63" s="272">
        <v>1184.18379</v>
      </c>
      <c r="L63" s="272">
        <v>1258.53178</v>
      </c>
      <c r="M63" s="272">
        <v>6265.5916900000002</v>
      </c>
      <c r="N63" s="272">
        <v>274.93700000000001</v>
      </c>
      <c r="O63" s="272">
        <v>3.8725500000000004</v>
      </c>
      <c r="P63" s="272">
        <v>235.04223999999999</v>
      </c>
      <c r="Q63" s="272">
        <v>184.27759</v>
      </c>
      <c r="R63" s="272">
        <v>3.0122</v>
      </c>
      <c r="S63" s="272">
        <v>6.0972600000000003</v>
      </c>
      <c r="U63" s="272">
        <v>703.30142000000001</v>
      </c>
      <c r="V63" s="272">
        <v>0</v>
      </c>
      <c r="W63" s="272">
        <v>0</v>
      </c>
      <c r="X63" s="272">
        <v>-697.20416</v>
      </c>
      <c r="Y63" s="272">
        <v>-10.577639999999999</v>
      </c>
      <c r="Z63" s="272">
        <v>0</v>
      </c>
      <c r="AA63" s="272">
        <v>0</v>
      </c>
      <c r="AB63" s="272">
        <v>-686.62652000000003</v>
      </c>
      <c r="AD63" s="272">
        <v>268.51649999999995</v>
      </c>
      <c r="AE63" s="157">
        <v>382.44826</v>
      </c>
      <c r="AF63" s="184">
        <v>376.351</v>
      </c>
      <c r="AG63" s="272">
        <v>-980.30300999999997</v>
      </c>
      <c r="AH63" s="272">
        <v>0</v>
      </c>
      <c r="AI63" s="184">
        <v>62.67</v>
      </c>
      <c r="AJ63" s="272">
        <v>596.80959999999993</v>
      </c>
      <c r="AL63" s="272">
        <v>8687.1720000000005</v>
      </c>
      <c r="AM63" s="184">
        <v>7.33</v>
      </c>
      <c r="AN63" s="272">
        <v>-13.512</v>
      </c>
      <c r="AO63" s="343">
        <v>2589</v>
      </c>
      <c r="AP63" s="332">
        <v>9.8000000000000007</v>
      </c>
      <c r="AQ63" s="448"/>
      <c r="AS63" s="455">
        <v>1753.77316</v>
      </c>
      <c r="AT63" s="272">
        <v>7627.0891500000007</v>
      </c>
      <c r="AU63" s="450"/>
      <c r="AV63" s="334">
        <v>4377.1768899999997</v>
      </c>
      <c r="AW63" s="334">
        <v>828.67180000000008</v>
      </c>
      <c r="AX63" s="334">
        <v>1309.93616</v>
      </c>
      <c r="AY63" s="334">
        <v>6515.78485</v>
      </c>
      <c r="AZ63" s="334">
        <v>-284.86733000000004</v>
      </c>
      <c r="BA63" s="272">
        <v>-1.0445599999999999</v>
      </c>
      <c r="BB63" s="333">
        <v>316.39630999999997</v>
      </c>
      <c r="BC63" s="272">
        <v>280.96540000000005</v>
      </c>
      <c r="BD63" s="272">
        <v>2.7856399999999999</v>
      </c>
      <c r="BE63" s="334">
        <v>318.34041999999999</v>
      </c>
      <c r="BG63" s="331">
        <v>911.20713999999998</v>
      </c>
      <c r="BH63" s="331">
        <v>0</v>
      </c>
      <c r="BI63" s="334">
        <v>0</v>
      </c>
      <c r="BJ63" s="334">
        <v>-592.86671999999999</v>
      </c>
      <c r="BK63" s="334">
        <v>-10.577639999999999</v>
      </c>
      <c r="BL63" s="331">
        <v>0</v>
      </c>
      <c r="BM63" s="331">
        <v>0</v>
      </c>
      <c r="BN63" s="334">
        <v>-582.28908000000001</v>
      </c>
      <c r="BP63" s="334">
        <v>-313.77257999999995</v>
      </c>
      <c r="BQ63" s="311">
        <v>40.764669999999995</v>
      </c>
      <c r="BR63" s="272">
        <v>-277.57575000000003</v>
      </c>
      <c r="BS63" s="461">
        <v>-221.38879</v>
      </c>
      <c r="BT63" s="272">
        <v>0</v>
      </c>
      <c r="BU63" s="272">
        <v>296.54199999999997</v>
      </c>
      <c r="BV63" s="333">
        <v>969.15949999999998</v>
      </c>
      <c r="BX63" s="272">
        <v>9448.66</v>
      </c>
      <c r="BY63" s="469">
        <v>0</v>
      </c>
      <c r="BZ63" s="469">
        <v>761.48800000000006</v>
      </c>
      <c r="CA63" s="552"/>
      <c r="CB63" s="335">
        <v>9.9</v>
      </c>
      <c r="CC63" s="471">
        <f t="shared" si="0"/>
        <v>9.9</v>
      </c>
      <c r="CD63" s="558"/>
      <c r="CE63" s="272"/>
      <c r="CF63" s="262"/>
      <c r="CI63" s="158">
        <v>500</v>
      </c>
      <c r="CJ63" s="331">
        <v>-447.40113689805878</v>
      </c>
      <c r="CK63" s="331">
        <v>-156.85184115075435</v>
      </c>
      <c r="CL63" s="331">
        <v>3.069701259950989</v>
      </c>
      <c r="CM63" s="472">
        <v>191.4951398727469</v>
      </c>
      <c r="CN63" s="472">
        <v>184.57697716395182</v>
      </c>
      <c r="CO63" s="480">
        <v>-642.976</v>
      </c>
      <c r="CP63" s="557"/>
      <c r="CQ63" s="474">
        <v>0</v>
      </c>
      <c r="CR63" s="474">
        <v>0</v>
      </c>
    </row>
    <row r="64" spans="1:96" x14ac:dyDescent="0.2">
      <c r="A64" s="154">
        <v>205</v>
      </c>
      <c r="B64" s="156" t="s">
        <v>98</v>
      </c>
      <c r="C64" s="325">
        <v>36513</v>
      </c>
      <c r="D64" s="270">
        <v>8.36</v>
      </c>
      <c r="E64" s="185"/>
      <c r="G64" s="272">
        <v>33609.189810000003</v>
      </c>
      <c r="H64" s="272">
        <v>159477.17767999999</v>
      </c>
      <c r="I64" s="272"/>
      <c r="J64" s="272">
        <v>64297.284770000006</v>
      </c>
      <c r="K64" s="272">
        <v>6335.0097000000005</v>
      </c>
      <c r="L64" s="272">
        <v>11359.795900000001</v>
      </c>
      <c r="M64" s="272">
        <v>81992.090370000005</v>
      </c>
      <c r="N64" s="272">
        <v>47175.84893</v>
      </c>
      <c r="O64" s="272">
        <v>301.51847999999995</v>
      </c>
      <c r="P64" s="272">
        <v>2401.3188100000002</v>
      </c>
      <c r="Q64" s="272">
        <v>24451.121899999998</v>
      </c>
      <c r="R64" s="272">
        <v>5101.3286600000001</v>
      </c>
      <c r="S64" s="272">
        <v>21185.873379999997</v>
      </c>
      <c r="U64" s="272">
        <v>18300.22364</v>
      </c>
      <c r="V64" s="272">
        <v>0</v>
      </c>
      <c r="W64" s="272">
        <v>0</v>
      </c>
      <c r="X64" s="272">
        <v>2885.6497400000003</v>
      </c>
      <c r="Y64" s="272">
        <v>-91.578140000000005</v>
      </c>
      <c r="Z64" s="272">
        <v>-405.36399999999998</v>
      </c>
      <c r="AA64" s="272">
        <v>-5.484</v>
      </c>
      <c r="AB64" s="272">
        <v>3388.0758799999999</v>
      </c>
      <c r="AD64" s="272">
        <v>178588.88159</v>
      </c>
      <c r="AE64" s="157">
        <v>19643.30257</v>
      </c>
      <c r="AF64" s="184">
        <v>-1542.5708200000001</v>
      </c>
      <c r="AG64" s="272">
        <v>-19805.046039999997</v>
      </c>
      <c r="AH64" s="272">
        <v>1588.83763</v>
      </c>
      <c r="AI64" s="184">
        <v>210.37743</v>
      </c>
      <c r="AJ64" s="272">
        <v>183762.60100999998</v>
      </c>
      <c r="AL64" s="272">
        <v>129510.54149</v>
      </c>
      <c r="AM64" s="184">
        <v>130.64311999999998</v>
      </c>
      <c r="AN64" s="272">
        <v>-23793.885719999998</v>
      </c>
      <c r="AO64" s="343">
        <v>36433</v>
      </c>
      <c r="AP64" s="332">
        <v>8.4</v>
      </c>
      <c r="AQ64" s="448"/>
      <c r="AS64" s="455">
        <v>31375.502199999999</v>
      </c>
      <c r="AT64" s="272">
        <v>158679.13315000001</v>
      </c>
      <c r="AU64" s="450"/>
      <c r="AV64" s="334">
        <v>66253.602799999993</v>
      </c>
      <c r="AW64" s="334">
        <v>7319.2357199999997</v>
      </c>
      <c r="AX64" s="334">
        <v>11830.72437</v>
      </c>
      <c r="AY64" s="334">
        <v>85403.562890000001</v>
      </c>
      <c r="AZ64" s="334">
        <v>50201.540999999997</v>
      </c>
      <c r="BA64" s="272">
        <v>93.19238</v>
      </c>
      <c r="BB64" s="333">
        <v>1536.19704</v>
      </c>
      <c r="BC64" s="272">
        <v>17352.1872</v>
      </c>
      <c r="BD64" s="272">
        <v>3171.9752000000003</v>
      </c>
      <c r="BE64" s="334">
        <v>21596.053090000001</v>
      </c>
      <c r="BG64" s="331">
        <v>18322.03138</v>
      </c>
      <c r="BH64" s="334">
        <v>0</v>
      </c>
      <c r="BI64" s="334">
        <v>0</v>
      </c>
      <c r="BJ64" s="334">
        <v>3274.02171</v>
      </c>
      <c r="BK64" s="334">
        <v>11356.00639</v>
      </c>
      <c r="BL64" s="331">
        <v>-10847.68907</v>
      </c>
      <c r="BM64" s="334">
        <v>-0.49992000000000003</v>
      </c>
      <c r="BN64" s="334">
        <v>2766.2043100000001</v>
      </c>
      <c r="BP64" s="334">
        <v>181355.08590999999</v>
      </c>
      <c r="BQ64" s="311">
        <v>21184.080969999999</v>
      </c>
      <c r="BR64" s="272">
        <v>-411.97212000000002</v>
      </c>
      <c r="BS64" s="461">
        <v>-16992.080750000001</v>
      </c>
      <c r="BT64" s="272">
        <v>104.70336</v>
      </c>
      <c r="BU64" s="272">
        <v>201.75227999999998</v>
      </c>
      <c r="BV64" s="333">
        <v>181132.05336000002</v>
      </c>
      <c r="BX64" s="272">
        <v>123122.28714</v>
      </c>
      <c r="BY64" s="469">
        <v>145.19378</v>
      </c>
      <c r="BZ64" s="469">
        <v>-6388.2543499999992</v>
      </c>
      <c r="CA64" s="552"/>
      <c r="CB64" s="335">
        <v>8.4</v>
      </c>
      <c r="CC64" s="471">
        <f t="shared" si="0"/>
        <v>8.4</v>
      </c>
      <c r="CD64" s="558"/>
      <c r="CE64" s="272"/>
      <c r="CF64" s="262"/>
      <c r="CI64" s="158">
        <v>0</v>
      </c>
      <c r="CJ64" s="331">
        <v>53747.396637289494</v>
      </c>
      <c r="CK64" s="331">
        <v>52083.829521276799</v>
      </c>
      <c r="CL64" s="331">
        <v>53108.379082795844</v>
      </c>
      <c r="CM64" s="472">
        <v>55574.131095637509</v>
      </c>
      <c r="CN64" s="472">
        <v>56682.341202987707</v>
      </c>
      <c r="CO64" s="480">
        <v>30871.096000000001</v>
      </c>
      <c r="CP64" s="557"/>
      <c r="CQ64" s="474">
        <v>635.92903999999999</v>
      </c>
      <c r="CR64" s="474">
        <v>557.37281000000007</v>
      </c>
    </row>
    <row r="65" spans="1:96" x14ac:dyDescent="0.2">
      <c r="A65" s="265">
        <v>208</v>
      </c>
      <c r="B65" s="262" t="s">
        <v>99</v>
      </c>
      <c r="C65" s="325">
        <v>12372</v>
      </c>
      <c r="D65" s="270">
        <v>8.36</v>
      </c>
      <c r="E65" s="311"/>
      <c r="F65" s="262"/>
      <c r="G65" s="272">
        <v>12230.866179999999</v>
      </c>
      <c r="H65" s="272">
        <v>47390.471530000003</v>
      </c>
      <c r="I65" s="272"/>
      <c r="J65" s="272">
        <v>19552.528249999999</v>
      </c>
      <c r="K65" s="272">
        <v>2972.04864</v>
      </c>
      <c r="L65" s="272">
        <v>7611.0865899999999</v>
      </c>
      <c r="M65" s="272">
        <v>30135.663479999999</v>
      </c>
      <c r="N65" s="272">
        <v>17124.738000000001</v>
      </c>
      <c r="O65" s="272">
        <v>420.57062000000002</v>
      </c>
      <c r="P65" s="272">
        <v>673.41261999999995</v>
      </c>
      <c r="Q65" s="272">
        <v>1147.8591399999998</v>
      </c>
      <c r="R65" s="272">
        <v>479.49703000000005</v>
      </c>
      <c r="S65" s="272">
        <v>12706.819820000001</v>
      </c>
      <c r="T65" s="262"/>
      <c r="U65" s="272">
        <v>7036.7906600000006</v>
      </c>
      <c r="V65" s="272">
        <v>0</v>
      </c>
      <c r="W65" s="272">
        <v>0</v>
      </c>
      <c r="X65" s="272">
        <v>5670.02916</v>
      </c>
      <c r="Y65" s="272">
        <v>-53.925330000000002</v>
      </c>
      <c r="Z65" s="272">
        <v>2500</v>
      </c>
      <c r="AA65" s="272">
        <v>0</v>
      </c>
      <c r="AB65" s="272">
        <v>3223.9544900000001</v>
      </c>
      <c r="AC65" s="262"/>
      <c r="AD65" s="272">
        <v>25786.268770000002</v>
      </c>
      <c r="AE65" s="311">
        <v>12432.883830000001</v>
      </c>
      <c r="AF65" s="272">
        <v>-273.93599</v>
      </c>
      <c r="AG65" s="272">
        <v>-6502.8878399999994</v>
      </c>
      <c r="AH65" s="272">
        <v>880.30914000000007</v>
      </c>
      <c r="AI65" s="272">
        <v>316.41697999999997</v>
      </c>
      <c r="AJ65" s="272">
        <v>18372.441129999999</v>
      </c>
      <c r="AK65" s="262"/>
      <c r="AL65" s="272">
        <v>33565.7117</v>
      </c>
      <c r="AM65" s="272">
        <v>66.18713000000001</v>
      </c>
      <c r="AN65" s="272">
        <v>-7631.2829000000002</v>
      </c>
      <c r="AO65" s="325">
        <v>12271</v>
      </c>
      <c r="AP65" s="332">
        <v>8.3000000000000007</v>
      </c>
      <c r="AQ65" s="446"/>
      <c r="AS65" s="455">
        <v>12059.723759999999</v>
      </c>
      <c r="AT65" s="272">
        <v>48088.672079999997</v>
      </c>
      <c r="AU65" s="447"/>
      <c r="AV65" s="272">
        <v>19317.260429999998</v>
      </c>
      <c r="AW65" s="272">
        <v>3178.68271</v>
      </c>
      <c r="AX65" s="272">
        <v>8218.5924599999998</v>
      </c>
      <c r="AY65" s="272">
        <v>30714.535600000003</v>
      </c>
      <c r="AZ65" s="272">
        <v>15166.191999999999</v>
      </c>
      <c r="BA65" s="272">
        <v>340.38921000000005</v>
      </c>
      <c r="BB65" s="272">
        <v>1031.63174</v>
      </c>
      <c r="BC65" s="272">
        <v>1386.9760800000001</v>
      </c>
      <c r="BD65" s="272">
        <v>84.00515</v>
      </c>
      <c r="BE65" s="272">
        <v>10588.04376</v>
      </c>
      <c r="BG65" s="272">
        <v>5710.5811100000001</v>
      </c>
      <c r="BH65" s="272">
        <v>0</v>
      </c>
      <c r="BI65" s="272">
        <v>0</v>
      </c>
      <c r="BJ65" s="272">
        <v>4877.4626500000004</v>
      </c>
      <c r="BK65" s="272">
        <v>-53.925330000000002</v>
      </c>
      <c r="BL65" s="272">
        <v>0</v>
      </c>
      <c r="BM65" s="272">
        <v>0</v>
      </c>
      <c r="BN65" s="272">
        <v>4931.3879800000004</v>
      </c>
      <c r="BP65" s="272">
        <v>30717.656749999998</v>
      </c>
      <c r="BQ65" s="311">
        <v>10392.55796</v>
      </c>
      <c r="BR65" s="272">
        <v>-195.48579999999998</v>
      </c>
      <c r="BS65" s="272">
        <v>-17052.28498</v>
      </c>
      <c r="BT65" s="272">
        <v>3626.60707</v>
      </c>
      <c r="BU65" s="272">
        <v>267.15717999999998</v>
      </c>
      <c r="BV65" s="272">
        <v>15302.067209999999</v>
      </c>
      <c r="BX65" s="272">
        <v>34453.378799999999</v>
      </c>
      <c r="BY65" s="469">
        <v>2891.7500299999997</v>
      </c>
      <c r="BZ65" s="469">
        <v>887.6671</v>
      </c>
      <c r="CA65" s="552"/>
      <c r="CB65" s="335">
        <v>8.2999999999999989</v>
      </c>
      <c r="CC65" s="471">
        <f t="shared" si="0"/>
        <v>8.2999999999999989</v>
      </c>
      <c r="CD65" s="558"/>
      <c r="CE65" s="272"/>
      <c r="CF65" s="262"/>
      <c r="CG65" s="260"/>
      <c r="CH65" s="262"/>
      <c r="CI65" s="260">
        <v>0</v>
      </c>
      <c r="CJ65" s="331">
        <v>14539.107152546883</v>
      </c>
      <c r="CK65" s="331">
        <v>14394.727163090451</v>
      </c>
      <c r="CL65" s="331">
        <v>15062.158401838144</v>
      </c>
      <c r="CM65" s="472">
        <v>16249.944500864</v>
      </c>
      <c r="CN65" s="472">
        <v>16575.149717014297</v>
      </c>
      <c r="CO65" s="480">
        <v>-212.41</v>
      </c>
      <c r="CP65" s="557"/>
      <c r="CQ65" s="474">
        <v>190.50358</v>
      </c>
      <c r="CR65" s="474">
        <v>124.53608</v>
      </c>
    </row>
    <row r="66" spans="1:96" x14ac:dyDescent="0.2">
      <c r="A66" s="265">
        <v>211</v>
      </c>
      <c r="B66" s="262" t="s">
        <v>100</v>
      </c>
      <c r="C66" s="325">
        <v>33473</v>
      </c>
      <c r="D66" s="270">
        <v>8.36</v>
      </c>
      <c r="E66" s="311"/>
      <c r="F66" s="310"/>
      <c r="G66" s="272">
        <v>22438.409219999998</v>
      </c>
      <c r="H66" s="272">
        <v>112074.55012</v>
      </c>
      <c r="I66" s="272"/>
      <c r="J66" s="272">
        <v>69741.61523000001</v>
      </c>
      <c r="K66" s="272">
        <v>5720.35466</v>
      </c>
      <c r="L66" s="272">
        <v>8594.6803</v>
      </c>
      <c r="M66" s="272">
        <v>84056.65019</v>
      </c>
      <c r="N66" s="272">
        <v>23532.717940000002</v>
      </c>
      <c r="O66" s="272">
        <v>301.68707000000001</v>
      </c>
      <c r="P66" s="272">
        <v>2061.50605</v>
      </c>
      <c r="Q66" s="272">
        <v>15031.82603</v>
      </c>
      <c r="R66" s="272">
        <v>11224.707920000001</v>
      </c>
      <c r="S66" s="272">
        <v>20000.52636</v>
      </c>
      <c r="T66" s="310"/>
      <c r="U66" s="272">
        <v>16859.372309999999</v>
      </c>
      <c r="V66" s="272">
        <v>0</v>
      </c>
      <c r="W66" s="272">
        <v>0</v>
      </c>
      <c r="X66" s="272">
        <v>3141.1540499999996</v>
      </c>
      <c r="Y66" s="272">
        <v>-252.84744000000001</v>
      </c>
      <c r="Z66" s="272">
        <v>-2368.2491400000004</v>
      </c>
      <c r="AA66" s="272">
        <v>0</v>
      </c>
      <c r="AB66" s="272">
        <v>5762.2506299999995</v>
      </c>
      <c r="AC66" s="310"/>
      <c r="AD66" s="272">
        <v>78504.628089999984</v>
      </c>
      <c r="AE66" s="462">
        <v>19278.48416</v>
      </c>
      <c r="AF66" s="333">
        <v>-722.04219999999998</v>
      </c>
      <c r="AG66" s="272">
        <v>-46621.631350000003</v>
      </c>
      <c r="AH66" s="272">
        <v>1472.50045</v>
      </c>
      <c r="AI66" s="333">
        <v>2248.8236499999998</v>
      </c>
      <c r="AJ66" s="272">
        <v>48101.584869999999</v>
      </c>
      <c r="AK66" s="310"/>
      <c r="AL66" s="272">
        <v>111600.01295</v>
      </c>
      <c r="AM66" s="333">
        <v>-45.005160000000004</v>
      </c>
      <c r="AN66" s="272">
        <v>25140.701399999998</v>
      </c>
      <c r="AO66" s="343">
        <v>33951</v>
      </c>
      <c r="AP66" s="332">
        <v>9.4</v>
      </c>
      <c r="AQ66" s="446"/>
      <c r="AR66" s="452"/>
      <c r="AS66" s="455">
        <v>23616.569889999999</v>
      </c>
      <c r="AT66" s="272">
        <v>111333.10424</v>
      </c>
      <c r="AU66" s="451"/>
      <c r="AV66" s="333">
        <v>75495.982069999998</v>
      </c>
      <c r="AW66" s="333">
        <v>4055.77268</v>
      </c>
      <c r="AX66" s="333">
        <v>9442.5934399999987</v>
      </c>
      <c r="AY66" s="333">
        <v>88994.348190000004</v>
      </c>
      <c r="AZ66" s="333">
        <v>19840.268989999997</v>
      </c>
      <c r="BA66" s="333">
        <v>143.14260999999999</v>
      </c>
      <c r="BB66" s="333">
        <v>3249.3809799999999</v>
      </c>
      <c r="BC66" s="333">
        <v>10341.6587</v>
      </c>
      <c r="BD66" s="333">
        <v>7650.8210899999995</v>
      </c>
      <c r="BE66" s="333">
        <v>20702.682069999999</v>
      </c>
      <c r="BF66" s="452"/>
      <c r="BG66" s="333">
        <v>14637.36558</v>
      </c>
      <c r="BH66" s="333">
        <v>172.98224999999999</v>
      </c>
      <c r="BI66" s="333">
        <v>0</v>
      </c>
      <c r="BJ66" s="333">
        <v>6238.2987400000002</v>
      </c>
      <c r="BK66" s="333">
        <v>-676.88652999999999</v>
      </c>
      <c r="BL66" s="333">
        <v>-100</v>
      </c>
      <c r="BM66" s="333">
        <v>0</v>
      </c>
      <c r="BN66" s="333">
        <v>7015.1852699999999</v>
      </c>
      <c r="BO66" s="452"/>
      <c r="BP66" s="333">
        <v>85519.81336</v>
      </c>
      <c r="BQ66" s="462">
        <v>19230.784809999997</v>
      </c>
      <c r="BR66" s="333">
        <v>-1036.1973</v>
      </c>
      <c r="BS66" s="333">
        <v>-38565.122940000001</v>
      </c>
      <c r="BT66" s="333">
        <v>0</v>
      </c>
      <c r="BU66" s="333">
        <v>1172.38598</v>
      </c>
      <c r="BV66" s="333">
        <v>46355.957670000003</v>
      </c>
      <c r="BW66" s="452"/>
      <c r="BX66" s="333">
        <v>129083.34699999999</v>
      </c>
      <c r="BY66" s="469">
        <v>-56.224179999999997</v>
      </c>
      <c r="BZ66" s="469">
        <v>17483.333999999999</v>
      </c>
      <c r="CA66" s="452"/>
      <c r="CB66" s="335">
        <v>9.4</v>
      </c>
      <c r="CC66" s="471">
        <f t="shared" si="0"/>
        <v>9.4</v>
      </c>
      <c r="CD66" s="559"/>
      <c r="CE66" s="272"/>
      <c r="CF66" s="262"/>
      <c r="CG66" s="310"/>
      <c r="CH66" s="310"/>
      <c r="CI66" s="310">
        <v>0</v>
      </c>
      <c r="CJ66" s="333">
        <v>20383.742672639211</v>
      </c>
      <c r="CK66" s="333">
        <v>20342.206011625178</v>
      </c>
      <c r="CL66" s="331">
        <v>21242.395807701541</v>
      </c>
      <c r="CM66" s="472">
        <v>23120.828352670655</v>
      </c>
      <c r="CN66" s="472">
        <v>24221.40418919452</v>
      </c>
      <c r="CO66" s="480">
        <v>-4087.1849999999999</v>
      </c>
      <c r="CP66" s="557"/>
      <c r="CQ66" s="474">
        <v>0</v>
      </c>
      <c r="CR66" s="474">
        <v>0</v>
      </c>
    </row>
    <row r="67" spans="1:96" x14ac:dyDescent="0.2">
      <c r="A67" s="154">
        <v>213</v>
      </c>
      <c r="B67" s="156" t="s">
        <v>101</v>
      </c>
      <c r="C67" s="325">
        <v>5114</v>
      </c>
      <c r="D67" s="270">
        <v>8.86</v>
      </c>
      <c r="E67" s="185"/>
      <c r="G67" s="272">
        <v>3668.4289199999998</v>
      </c>
      <c r="H67" s="272">
        <v>16693.734840000001</v>
      </c>
      <c r="I67" s="272"/>
      <c r="J67" s="272">
        <v>8460.8690299999998</v>
      </c>
      <c r="K67" s="272">
        <v>2341.2039100000002</v>
      </c>
      <c r="L67" s="272">
        <v>2130.2290099999996</v>
      </c>
      <c r="M67" s="272">
        <v>12932.301949999999</v>
      </c>
      <c r="N67" s="272">
        <v>1871.827</v>
      </c>
      <c r="O67" s="272">
        <v>24.484779999999997</v>
      </c>
      <c r="P67" s="272">
        <v>266.74482</v>
      </c>
      <c r="Q67" s="272">
        <v>275.63378</v>
      </c>
      <c r="R67" s="272">
        <v>14.45153</v>
      </c>
      <c r="S67" s="272">
        <v>1797.74524</v>
      </c>
      <c r="U67" s="272">
        <v>1672.4623300000001</v>
      </c>
      <c r="V67" s="272">
        <v>0</v>
      </c>
      <c r="W67" s="272">
        <v>0</v>
      </c>
      <c r="X67" s="272">
        <v>125.28291</v>
      </c>
      <c r="Y67" s="272">
        <v>0</v>
      </c>
      <c r="Z67" s="272">
        <v>0</v>
      </c>
      <c r="AA67" s="272">
        <v>0</v>
      </c>
      <c r="AB67" s="272">
        <v>125.28291</v>
      </c>
      <c r="AD67" s="272">
        <v>8760.262279999999</v>
      </c>
      <c r="AE67" s="157">
        <v>1634.69784</v>
      </c>
      <c r="AF67" s="184">
        <v>-163.04739999999998</v>
      </c>
      <c r="AG67" s="272">
        <v>-868.26268000000005</v>
      </c>
      <c r="AH67" s="272">
        <v>0</v>
      </c>
      <c r="AI67" s="184">
        <v>178.8</v>
      </c>
      <c r="AJ67" s="272">
        <v>376.93468999999999</v>
      </c>
      <c r="AL67" s="272">
        <v>10840.464</v>
      </c>
      <c r="AM67" s="184">
        <v>142.16664</v>
      </c>
      <c r="AN67" s="272">
        <v>36.659999999999997</v>
      </c>
      <c r="AO67" s="343">
        <v>5062</v>
      </c>
      <c r="AP67" s="332">
        <v>9.4</v>
      </c>
      <c r="AQ67" s="448"/>
      <c r="AS67" s="455">
        <v>3853.2282400000004</v>
      </c>
      <c r="AT67" s="272">
        <v>16444.849429999998</v>
      </c>
      <c r="AU67" s="450"/>
      <c r="AV67" s="334">
        <v>8614.1999700000015</v>
      </c>
      <c r="AW67" s="334">
        <v>1998.5019600000001</v>
      </c>
      <c r="AX67" s="334">
        <v>2392.90841</v>
      </c>
      <c r="AY67" s="334">
        <v>13005.610339999999</v>
      </c>
      <c r="AZ67" s="334">
        <v>1649.8889999999999</v>
      </c>
      <c r="BA67" s="272">
        <v>22.979500000000002</v>
      </c>
      <c r="BB67" s="333">
        <v>317.55133000000001</v>
      </c>
      <c r="BC67" s="272">
        <v>510.87609000000003</v>
      </c>
      <c r="BD67" s="272">
        <v>19.49841</v>
      </c>
      <c r="BE67" s="334">
        <v>2260.6840000000002</v>
      </c>
      <c r="BG67" s="331">
        <v>2124.6405399999999</v>
      </c>
      <c r="BH67" s="331">
        <v>0</v>
      </c>
      <c r="BI67" s="334">
        <v>0</v>
      </c>
      <c r="BJ67" s="334">
        <v>136.04345999999998</v>
      </c>
      <c r="BK67" s="331">
        <v>0</v>
      </c>
      <c r="BL67" s="334">
        <v>0</v>
      </c>
      <c r="BM67" s="331">
        <v>0</v>
      </c>
      <c r="BN67" s="334">
        <v>136.04345999999998</v>
      </c>
      <c r="BP67" s="334">
        <v>8896.3057399999998</v>
      </c>
      <c r="BQ67" s="311">
        <v>2248.87727</v>
      </c>
      <c r="BR67" s="272">
        <v>-11.80673</v>
      </c>
      <c r="BS67" s="461">
        <v>-1296.11565</v>
      </c>
      <c r="BT67" s="272">
        <v>0</v>
      </c>
      <c r="BU67" s="272">
        <v>145</v>
      </c>
      <c r="BV67" s="333">
        <v>37.985810000000001</v>
      </c>
      <c r="BX67" s="272">
        <v>8930.8409100000008</v>
      </c>
      <c r="BY67" s="469">
        <v>18</v>
      </c>
      <c r="BZ67" s="469">
        <v>-1909.62309</v>
      </c>
      <c r="CA67" s="552"/>
      <c r="CB67" s="335">
        <v>9.4</v>
      </c>
      <c r="CC67" s="471">
        <f t="shared" si="0"/>
        <v>9.4</v>
      </c>
      <c r="CD67" s="558"/>
      <c r="CE67" s="272"/>
      <c r="CF67" s="262"/>
      <c r="CI67" s="158">
        <v>0</v>
      </c>
      <c r="CJ67" s="331">
        <v>2358.8583320252028</v>
      </c>
      <c r="CK67" s="331">
        <v>2341.0428322166763</v>
      </c>
      <c r="CL67" s="331">
        <v>2386.0407310142382</v>
      </c>
      <c r="CM67" s="472">
        <v>2701.2563422768235</v>
      </c>
      <c r="CN67" s="472">
        <v>2689.7861157902125</v>
      </c>
      <c r="CO67" s="480">
        <v>-273.334</v>
      </c>
      <c r="CP67" s="557"/>
      <c r="CQ67" s="474">
        <v>0</v>
      </c>
      <c r="CR67" s="474">
        <v>0</v>
      </c>
    </row>
    <row r="68" spans="1:96" x14ac:dyDescent="0.2">
      <c r="A68" s="154">
        <v>214</v>
      </c>
      <c r="B68" s="156" t="s">
        <v>102</v>
      </c>
      <c r="C68" s="325">
        <v>12394</v>
      </c>
      <c r="D68" s="270">
        <v>9.11</v>
      </c>
      <c r="E68" s="185"/>
      <c r="G68" s="272">
        <v>15119.38977</v>
      </c>
      <c r="H68" s="272">
        <v>46289.69382</v>
      </c>
      <c r="I68" s="272"/>
      <c r="J68" s="272">
        <v>20973.409239999997</v>
      </c>
      <c r="K68" s="272">
        <v>3620.8191900000002</v>
      </c>
      <c r="L68" s="272">
        <v>4466.9613200000003</v>
      </c>
      <c r="M68" s="272">
        <v>29061.189750000001</v>
      </c>
      <c r="N68" s="272">
        <v>10839.329</v>
      </c>
      <c r="O68" s="272">
        <v>108.93214</v>
      </c>
      <c r="P68" s="272">
        <v>607.17766000000006</v>
      </c>
      <c r="Q68" s="272">
        <v>1120.7070900000001</v>
      </c>
      <c r="R68" s="272">
        <v>2.6715999999999998</v>
      </c>
      <c r="S68" s="272">
        <v>9350.0046700000003</v>
      </c>
      <c r="U68" s="272">
        <v>4485.6679000000004</v>
      </c>
      <c r="V68" s="272">
        <v>0</v>
      </c>
      <c r="W68" s="272">
        <v>0</v>
      </c>
      <c r="X68" s="272">
        <v>4864.3367699999999</v>
      </c>
      <c r="Y68" s="272">
        <v>-12.817350000000001</v>
      </c>
      <c r="Z68" s="272">
        <v>0</v>
      </c>
      <c r="AA68" s="272">
        <v>0</v>
      </c>
      <c r="AB68" s="272">
        <v>4877.1541200000001</v>
      </c>
      <c r="AD68" s="272">
        <v>10448.57763</v>
      </c>
      <c r="AE68" s="157">
        <v>9456.0413499999995</v>
      </c>
      <c r="AF68" s="184">
        <v>106.03667999999999</v>
      </c>
      <c r="AG68" s="272">
        <v>-3991.2711600000002</v>
      </c>
      <c r="AH68" s="272">
        <v>145.78608</v>
      </c>
      <c r="AI68" s="184">
        <v>2158.94965</v>
      </c>
      <c r="AJ68" s="272">
        <v>4637.3195999999998</v>
      </c>
      <c r="AL68" s="272">
        <v>55097.249159999999</v>
      </c>
      <c r="AM68" s="184">
        <v>36.370919999999998</v>
      </c>
      <c r="AN68" s="272">
        <v>-4324.2206999999999</v>
      </c>
      <c r="AO68" s="343">
        <v>12478</v>
      </c>
      <c r="AP68" s="332">
        <v>9.1000000000000014</v>
      </c>
      <c r="AQ68" s="448"/>
      <c r="AS68" s="455">
        <v>14480.87127</v>
      </c>
      <c r="AT68" s="272">
        <v>47462.868590000005</v>
      </c>
      <c r="AU68" s="450"/>
      <c r="AV68" s="334">
        <v>21321.399920000003</v>
      </c>
      <c r="AW68" s="334">
        <v>3182.8806600000003</v>
      </c>
      <c r="AX68" s="334">
        <v>4044.7379799999999</v>
      </c>
      <c r="AY68" s="334">
        <v>28549.01856</v>
      </c>
      <c r="AZ68" s="334">
        <v>9297.3289999999997</v>
      </c>
      <c r="BA68" s="272">
        <v>124.69467999999999</v>
      </c>
      <c r="BB68" s="333">
        <v>568.85731999999996</v>
      </c>
      <c r="BC68" s="272">
        <v>976.47877000000005</v>
      </c>
      <c r="BD68" s="272">
        <v>3.2827899999999999</v>
      </c>
      <c r="BE68" s="334">
        <v>5393.3835799999997</v>
      </c>
      <c r="BG68" s="331">
        <v>4785.9195599999994</v>
      </c>
      <c r="BH68" s="331">
        <v>0</v>
      </c>
      <c r="BI68" s="331">
        <v>0</v>
      </c>
      <c r="BJ68" s="334">
        <v>607.46402</v>
      </c>
      <c r="BK68" s="331">
        <v>-12.817350000000001</v>
      </c>
      <c r="BL68" s="331">
        <v>0</v>
      </c>
      <c r="BM68" s="331">
        <v>0</v>
      </c>
      <c r="BN68" s="334">
        <v>620.28137000000004</v>
      </c>
      <c r="BP68" s="334">
        <v>11068.859</v>
      </c>
      <c r="BQ68" s="311">
        <v>5359.5667800000001</v>
      </c>
      <c r="BR68" s="272">
        <v>-33.816800000000001</v>
      </c>
      <c r="BS68" s="461">
        <v>-4851.5920599999999</v>
      </c>
      <c r="BT68" s="272">
        <v>509.09103999999996</v>
      </c>
      <c r="BU68" s="272">
        <v>36.018000000000001</v>
      </c>
      <c r="BV68" s="333">
        <v>3686.02889</v>
      </c>
      <c r="BX68" s="272">
        <v>52850.923310000006</v>
      </c>
      <c r="BY68" s="469">
        <v>27.268639999999998</v>
      </c>
      <c r="BZ68" s="469">
        <v>-2246.3258500000002</v>
      </c>
      <c r="CA68" s="552"/>
      <c r="CB68" s="335">
        <v>9.0999999999999979</v>
      </c>
      <c r="CC68" s="471">
        <f t="shared" ref="CC68:CC131" si="1">CB68</f>
        <v>9.0999999999999979</v>
      </c>
      <c r="CD68" s="558"/>
      <c r="CE68" s="272"/>
      <c r="CF68" s="262"/>
      <c r="CG68" s="260"/>
      <c r="CI68" s="158">
        <v>0</v>
      </c>
      <c r="CJ68" s="331">
        <v>11431.722603458018</v>
      </c>
      <c r="CK68" s="331">
        <v>11705.858353874679</v>
      </c>
      <c r="CL68" s="331">
        <v>13035.975882203213</v>
      </c>
      <c r="CM68" s="472">
        <v>13566.725746574351</v>
      </c>
      <c r="CN68" s="472">
        <v>13908.791762731258</v>
      </c>
      <c r="CO68" s="480">
        <v>936.79399999999998</v>
      </c>
      <c r="CP68" s="557"/>
      <c r="CQ68" s="474">
        <v>0</v>
      </c>
      <c r="CR68" s="474">
        <v>0</v>
      </c>
    </row>
    <row r="69" spans="1:96" x14ac:dyDescent="0.2">
      <c r="A69" s="154">
        <v>216</v>
      </c>
      <c r="B69" s="156" t="s">
        <v>103</v>
      </c>
      <c r="C69" s="325">
        <v>1217</v>
      </c>
      <c r="D69" s="270">
        <v>8.86</v>
      </c>
      <c r="E69" s="185"/>
      <c r="G69" s="272">
        <v>5558.1085300000004</v>
      </c>
      <c r="H69" s="272">
        <v>9139.4772899999989</v>
      </c>
      <c r="I69" s="272"/>
      <c r="J69" s="272">
        <v>1785.1450400000001</v>
      </c>
      <c r="K69" s="272">
        <v>553.64364999999998</v>
      </c>
      <c r="L69" s="272">
        <v>568.74441000000002</v>
      </c>
      <c r="M69" s="272">
        <v>2907.5331000000001</v>
      </c>
      <c r="N69" s="272">
        <v>1144.604</v>
      </c>
      <c r="O69" s="272">
        <v>114.01092999999999</v>
      </c>
      <c r="P69" s="272">
        <v>383.89011999999997</v>
      </c>
      <c r="Q69" s="272">
        <v>75</v>
      </c>
      <c r="R69" s="272">
        <v>5.5730399999999998</v>
      </c>
      <c r="S69" s="272">
        <v>270.31610999999998</v>
      </c>
      <c r="U69" s="272">
        <v>1455.2382399999999</v>
      </c>
      <c r="V69" s="272">
        <v>0</v>
      </c>
      <c r="W69" s="272">
        <v>0</v>
      </c>
      <c r="X69" s="272">
        <v>-1184.9221299999999</v>
      </c>
      <c r="Y69" s="272">
        <v>-0.64729999999999999</v>
      </c>
      <c r="Z69" s="272">
        <v>0</v>
      </c>
      <c r="AA69" s="272">
        <v>0</v>
      </c>
      <c r="AB69" s="272">
        <v>-1184.2748300000001</v>
      </c>
      <c r="AD69" s="272">
        <v>5413.0409499999996</v>
      </c>
      <c r="AE69" s="157">
        <v>242.98810999999998</v>
      </c>
      <c r="AF69" s="184">
        <v>-27.327999999999999</v>
      </c>
      <c r="AG69" s="272">
        <v>-411.19078000000002</v>
      </c>
      <c r="AH69" s="272">
        <v>17.914849999999998</v>
      </c>
      <c r="AI69" s="184">
        <v>28.75807</v>
      </c>
      <c r="AJ69" s="272">
        <v>3364.8565899999999</v>
      </c>
      <c r="AL69" s="272">
        <v>8766.1649999999991</v>
      </c>
      <c r="AM69" s="184">
        <v>59.595709999999997</v>
      </c>
      <c r="AN69" s="272">
        <v>-512.51199999999994</v>
      </c>
      <c r="AO69" s="343">
        <v>1186</v>
      </c>
      <c r="AP69" s="332">
        <v>9.1999999999999993</v>
      </c>
      <c r="AQ69" s="448"/>
      <c r="AS69" s="455">
        <v>5660.8710499999997</v>
      </c>
      <c r="AT69" s="272">
        <v>9214.2830599999998</v>
      </c>
      <c r="AU69" s="450"/>
      <c r="AV69" s="334">
        <v>1839.4780000000001</v>
      </c>
      <c r="AW69" s="334">
        <v>487.07900000000001</v>
      </c>
      <c r="AX69" s="334">
        <v>652.71500000000003</v>
      </c>
      <c r="AY69" s="334">
        <v>2979.2719999999999</v>
      </c>
      <c r="AZ69" s="334">
        <v>1351.2860000000001</v>
      </c>
      <c r="BA69" s="272">
        <v>28.99897</v>
      </c>
      <c r="BB69" s="333">
        <v>208.12791000000001</v>
      </c>
      <c r="BC69" s="272">
        <v>410.36502000000002</v>
      </c>
      <c r="BD69" s="272">
        <v>5.9495699999999996</v>
      </c>
      <c r="BE69" s="334">
        <v>1002.4325</v>
      </c>
      <c r="BG69" s="331">
        <v>992.13738999999998</v>
      </c>
      <c r="BH69" s="331">
        <v>0</v>
      </c>
      <c r="BI69" s="331">
        <v>0</v>
      </c>
      <c r="BJ69" s="334">
        <v>10.295110000000001</v>
      </c>
      <c r="BK69" s="334">
        <v>-0.64729999999999999</v>
      </c>
      <c r="BL69" s="334">
        <v>0</v>
      </c>
      <c r="BM69" s="331">
        <v>0</v>
      </c>
      <c r="BN69" s="334">
        <v>10.942410000000001</v>
      </c>
      <c r="BP69" s="334">
        <v>5423.9833900000003</v>
      </c>
      <c r="BQ69" s="311">
        <v>1002.4325</v>
      </c>
      <c r="BR69" s="272">
        <v>0</v>
      </c>
      <c r="BS69" s="461">
        <v>-330.70884000000001</v>
      </c>
      <c r="BT69" s="272">
        <v>158.96249</v>
      </c>
      <c r="BU69" s="272">
        <v>22.017019999999999</v>
      </c>
      <c r="BV69" s="333">
        <v>3841.2530300000003</v>
      </c>
      <c r="BX69" s="272">
        <v>8573.6530000000002</v>
      </c>
      <c r="BY69" s="469">
        <v>-27.744520000000001</v>
      </c>
      <c r="BZ69" s="469">
        <v>-192.512</v>
      </c>
      <c r="CA69" s="552"/>
      <c r="CB69" s="335">
        <v>9.1999999999999993</v>
      </c>
      <c r="CC69" s="471">
        <f t="shared" si="1"/>
        <v>9.1999999999999993</v>
      </c>
      <c r="CD69" s="558"/>
      <c r="CE69" s="272"/>
      <c r="CF69" s="262"/>
      <c r="CI69" s="158">
        <v>0</v>
      </c>
      <c r="CJ69" s="331">
        <v>1323.5283066907616</v>
      </c>
      <c r="CK69" s="331">
        <v>1228.1184515727025</v>
      </c>
      <c r="CL69" s="331">
        <v>1270.7144724739883</v>
      </c>
      <c r="CM69" s="472">
        <v>1341.4360673702181</v>
      </c>
      <c r="CN69" s="472">
        <v>1360.7957478075543</v>
      </c>
      <c r="CO69" s="480">
        <v>-242.94300000000001</v>
      </c>
      <c r="CP69" s="557"/>
      <c r="CQ69" s="474">
        <v>0</v>
      </c>
      <c r="CR69" s="474">
        <v>0</v>
      </c>
    </row>
    <row r="70" spans="1:96" x14ac:dyDescent="0.2">
      <c r="A70" s="154">
        <v>217</v>
      </c>
      <c r="B70" s="156" t="s">
        <v>104</v>
      </c>
      <c r="C70" s="325">
        <v>5246</v>
      </c>
      <c r="D70" s="270">
        <v>8.86</v>
      </c>
      <c r="E70" s="185"/>
      <c r="G70" s="272">
        <v>2981.2711200000003</v>
      </c>
      <c r="H70" s="272">
        <v>18845.482499999998</v>
      </c>
      <c r="I70" s="272"/>
      <c r="J70" s="272">
        <v>8812.9799899999998</v>
      </c>
      <c r="K70" s="272">
        <v>1010.8601</v>
      </c>
      <c r="L70" s="272">
        <v>3344.9662400000002</v>
      </c>
      <c r="M70" s="272">
        <v>13168.806329999999</v>
      </c>
      <c r="N70" s="272">
        <v>4923.4920000000002</v>
      </c>
      <c r="O70" s="272">
        <v>22.102990000000002</v>
      </c>
      <c r="P70" s="272">
        <v>632.85076000000004</v>
      </c>
      <c r="Q70" s="272">
        <v>143.53904999999997</v>
      </c>
      <c r="R70" s="272">
        <v>46.683410000000002</v>
      </c>
      <c r="S70" s="272">
        <v>1792.2272499999999</v>
      </c>
      <c r="U70" s="272">
        <v>1496.12943</v>
      </c>
      <c r="V70" s="272">
        <v>0</v>
      </c>
      <c r="W70" s="272">
        <v>0</v>
      </c>
      <c r="X70" s="272">
        <v>296.09782000000001</v>
      </c>
      <c r="Y70" s="272">
        <v>0</v>
      </c>
      <c r="Z70" s="272">
        <v>0</v>
      </c>
      <c r="AA70" s="272">
        <v>0</v>
      </c>
      <c r="AB70" s="272">
        <v>296.09782000000001</v>
      </c>
      <c r="AD70" s="272">
        <v>6194.7289599999995</v>
      </c>
      <c r="AE70" s="157">
        <v>1769.7198000000001</v>
      </c>
      <c r="AF70" s="184">
        <v>-22.507450000000002</v>
      </c>
      <c r="AG70" s="272">
        <v>-7754.6184599999997</v>
      </c>
      <c r="AH70" s="272">
        <v>0</v>
      </c>
      <c r="AI70" s="184">
        <v>72.55116000000001</v>
      </c>
      <c r="AJ70" s="272">
        <v>387.26296000000002</v>
      </c>
      <c r="AL70" s="272">
        <v>20900</v>
      </c>
      <c r="AM70" s="184">
        <v>42.919489999999996</v>
      </c>
      <c r="AN70" s="272">
        <v>5700</v>
      </c>
      <c r="AO70" s="343">
        <v>5264</v>
      </c>
      <c r="AP70" s="332">
        <v>8.9</v>
      </c>
      <c r="AQ70" s="448"/>
      <c r="AS70" s="455">
        <v>2431.8367200000002</v>
      </c>
      <c r="AT70" s="272">
        <v>18799.211299999999</v>
      </c>
      <c r="AU70" s="450"/>
      <c r="AV70" s="334">
        <v>8758.5240799999992</v>
      </c>
      <c r="AW70" s="334">
        <v>891.9558199999999</v>
      </c>
      <c r="AX70" s="334">
        <v>3704.1384199999998</v>
      </c>
      <c r="AY70" s="334">
        <v>13354.61832</v>
      </c>
      <c r="AZ70" s="334">
        <v>4495.3940000000002</v>
      </c>
      <c r="BA70" s="272">
        <v>21.335139999999999</v>
      </c>
      <c r="BB70" s="333">
        <v>911.70843000000002</v>
      </c>
      <c r="BC70" s="272">
        <v>58.890970000000003</v>
      </c>
      <c r="BD70" s="272">
        <v>12.140370000000001</v>
      </c>
      <c r="BE70" s="334">
        <v>730.40922999999998</v>
      </c>
      <c r="BG70" s="331">
        <v>1406.6464099999998</v>
      </c>
      <c r="BH70" s="331">
        <v>0</v>
      </c>
      <c r="BI70" s="334">
        <v>0</v>
      </c>
      <c r="BJ70" s="334">
        <v>-676.23718000000008</v>
      </c>
      <c r="BK70" s="331">
        <v>0</v>
      </c>
      <c r="BL70" s="331">
        <v>0</v>
      </c>
      <c r="BM70" s="334">
        <v>-1049.48966</v>
      </c>
      <c r="BN70" s="334">
        <v>373.25247999999999</v>
      </c>
      <c r="BP70" s="334">
        <v>6567.9814399999996</v>
      </c>
      <c r="BQ70" s="311">
        <v>767.76104000000009</v>
      </c>
      <c r="BR70" s="272">
        <v>37.35181</v>
      </c>
      <c r="BS70" s="461">
        <v>-6524.7441100000005</v>
      </c>
      <c r="BT70" s="272">
        <v>190</v>
      </c>
      <c r="BU70" s="272">
        <v>121.854</v>
      </c>
      <c r="BV70" s="333">
        <v>1045.2601099999999</v>
      </c>
      <c r="BX70" s="272">
        <v>28790.909090000001</v>
      </c>
      <c r="BY70" s="469">
        <v>-1050.6646599999999</v>
      </c>
      <c r="BZ70" s="469">
        <v>7890.9090900000001</v>
      </c>
      <c r="CA70" s="552"/>
      <c r="CB70" s="335">
        <v>9.6999999999999993</v>
      </c>
      <c r="CC70" s="471">
        <f t="shared" si="1"/>
        <v>9.6999999999999993</v>
      </c>
      <c r="CD70" s="558"/>
      <c r="CE70" s="272"/>
      <c r="CF70" s="262"/>
      <c r="CI70" s="158">
        <v>0</v>
      </c>
      <c r="CJ70" s="331">
        <v>5139.2550323693567</v>
      </c>
      <c r="CK70" s="331">
        <v>5270.7178644958904</v>
      </c>
      <c r="CL70" s="331">
        <v>5324.9460950854964</v>
      </c>
      <c r="CM70" s="472">
        <v>5349.14138734477</v>
      </c>
      <c r="CN70" s="472">
        <v>5638.7749270604982</v>
      </c>
      <c r="CO70" s="480">
        <v>195.28299999999999</v>
      </c>
      <c r="CP70" s="557"/>
      <c r="CQ70" s="474">
        <v>78.032429999999991</v>
      </c>
      <c r="CR70" s="474">
        <v>91.394179999999992</v>
      </c>
    </row>
    <row r="71" spans="1:96" x14ac:dyDescent="0.2">
      <c r="A71" s="154">
        <v>218</v>
      </c>
      <c r="B71" s="156" t="s">
        <v>105</v>
      </c>
      <c r="C71" s="325">
        <v>1188</v>
      </c>
      <c r="D71" s="270">
        <v>9.86</v>
      </c>
      <c r="E71" s="185"/>
      <c r="G71" s="272">
        <v>1014.92147</v>
      </c>
      <c r="H71" s="272">
        <v>4024.5909500000002</v>
      </c>
      <c r="I71" s="272"/>
      <c r="J71" s="272">
        <v>2034.6099299999998</v>
      </c>
      <c r="K71" s="272">
        <v>305.66224</v>
      </c>
      <c r="L71" s="272">
        <v>304.91566999999998</v>
      </c>
      <c r="M71" s="272">
        <v>2645.1878400000001</v>
      </c>
      <c r="N71" s="272">
        <v>1185.616</v>
      </c>
      <c r="O71" s="272">
        <v>1.1E-4</v>
      </c>
      <c r="P71" s="272">
        <v>25.806979999999999</v>
      </c>
      <c r="Q71" s="272">
        <v>5.5819999999999999</v>
      </c>
      <c r="R71" s="272">
        <v>0.10174</v>
      </c>
      <c r="S71" s="272">
        <v>800.80775000000006</v>
      </c>
      <c r="U71" s="272">
        <v>295.76445000000001</v>
      </c>
      <c r="V71" s="272">
        <v>0</v>
      </c>
      <c r="W71" s="272">
        <v>31.13373</v>
      </c>
      <c r="X71" s="272">
        <v>473.90957000000003</v>
      </c>
      <c r="Y71" s="272">
        <v>0</v>
      </c>
      <c r="Z71" s="272">
        <v>0</v>
      </c>
      <c r="AA71" s="272">
        <v>0</v>
      </c>
      <c r="AB71" s="272">
        <v>473.90957000000003</v>
      </c>
      <c r="AD71" s="272">
        <v>4000.63393</v>
      </c>
      <c r="AE71" s="157">
        <v>771.68154000000004</v>
      </c>
      <c r="AF71" s="184">
        <v>2.00752</v>
      </c>
      <c r="AG71" s="272">
        <v>-500.11739</v>
      </c>
      <c r="AH71" s="272">
        <v>0</v>
      </c>
      <c r="AI71" s="184">
        <v>344.12473999999997</v>
      </c>
      <c r="AJ71" s="272">
        <v>2414.9944300000002</v>
      </c>
      <c r="AL71" s="272">
        <v>1191.796</v>
      </c>
      <c r="AM71" s="184">
        <v>0</v>
      </c>
      <c r="AN71" s="272">
        <v>-239.03399999999999</v>
      </c>
      <c r="AO71" s="343">
        <v>1159</v>
      </c>
      <c r="AP71" s="332">
        <v>9.8000000000000007</v>
      </c>
      <c r="AQ71" s="448"/>
      <c r="AS71" s="455">
        <v>1219.3891599999999</v>
      </c>
      <c r="AT71" s="272">
        <v>4300.11949</v>
      </c>
      <c r="AU71" s="450"/>
      <c r="AV71" s="334">
        <v>2024.4032199999999</v>
      </c>
      <c r="AW71" s="334">
        <v>240.19041000000001</v>
      </c>
      <c r="AX71" s="334">
        <v>330.95600999999999</v>
      </c>
      <c r="AY71" s="334">
        <v>2595.5496400000002</v>
      </c>
      <c r="AZ71" s="334">
        <v>978.43</v>
      </c>
      <c r="BA71" s="272">
        <v>0</v>
      </c>
      <c r="BB71" s="333">
        <v>26.18075</v>
      </c>
      <c r="BC71" s="272">
        <v>5.6148400000000001</v>
      </c>
      <c r="BD71" s="272">
        <v>0.23744999999999999</v>
      </c>
      <c r="BE71" s="334">
        <v>472.44595000000004</v>
      </c>
      <c r="BG71" s="331">
        <v>333.04528999999997</v>
      </c>
      <c r="BH71" s="331">
        <v>13.309089999999999</v>
      </c>
      <c r="BI71" s="331">
        <v>0</v>
      </c>
      <c r="BJ71" s="334">
        <v>152.70975000000001</v>
      </c>
      <c r="BK71" s="331">
        <v>0</v>
      </c>
      <c r="BL71" s="331">
        <v>0</v>
      </c>
      <c r="BM71" s="331">
        <v>0</v>
      </c>
      <c r="BN71" s="334">
        <v>152.70975000000001</v>
      </c>
      <c r="BP71" s="334">
        <v>4153.3436799999999</v>
      </c>
      <c r="BQ71" s="311">
        <v>485.07620000000003</v>
      </c>
      <c r="BR71" s="272">
        <v>-0.67884</v>
      </c>
      <c r="BS71" s="461">
        <v>-376.72602000000001</v>
      </c>
      <c r="BT71" s="272">
        <v>0</v>
      </c>
      <c r="BU71" s="272">
        <v>0.85</v>
      </c>
      <c r="BV71" s="333">
        <v>2675.2629700000002</v>
      </c>
      <c r="BX71" s="272">
        <v>1047.5060000000001</v>
      </c>
      <c r="BY71" s="469">
        <v>0</v>
      </c>
      <c r="BZ71" s="469">
        <v>-144.29</v>
      </c>
      <c r="CA71" s="552"/>
      <c r="CB71" s="335">
        <v>9.8000000000000007</v>
      </c>
      <c r="CC71" s="471">
        <f t="shared" si="1"/>
        <v>9.8000000000000007</v>
      </c>
      <c r="CD71" s="558"/>
      <c r="CE71" s="272"/>
      <c r="CF71" s="262"/>
      <c r="CI71" s="158">
        <v>0</v>
      </c>
      <c r="CJ71" s="331">
        <v>1163.5073108442532</v>
      </c>
      <c r="CK71" s="331">
        <v>1095.582154491904</v>
      </c>
      <c r="CL71" s="331">
        <v>1166.9085071302704</v>
      </c>
      <c r="CM71" s="472">
        <v>1314.822580094572</v>
      </c>
      <c r="CN71" s="472">
        <v>1361.6169634961275</v>
      </c>
      <c r="CO71" s="480">
        <v>-254.65799999999999</v>
      </c>
      <c r="CP71" s="557"/>
      <c r="CQ71" s="474">
        <v>0</v>
      </c>
      <c r="CR71" s="474">
        <v>0</v>
      </c>
    </row>
    <row r="72" spans="1:96" x14ac:dyDescent="0.2">
      <c r="A72" s="154">
        <v>224</v>
      </c>
      <c r="B72" s="156" t="s">
        <v>106</v>
      </c>
      <c r="C72" s="325">
        <v>8581</v>
      </c>
      <c r="D72" s="270">
        <v>8.61</v>
      </c>
      <c r="E72" s="185"/>
      <c r="G72" s="272">
        <v>7428.0630000000001</v>
      </c>
      <c r="H72" s="272">
        <v>26781.321339999999</v>
      </c>
      <c r="I72" s="272"/>
      <c r="J72" s="272">
        <v>15042.989659999999</v>
      </c>
      <c r="K72" s="272">
        <v>1173.9148799999998</v>
      </c>
      <c r="L72" s="272">
        <v>2486.67679</v>
      </c>
      <c r="M72" s="272">
        <v>18703.581329999997</v>
      </c>
      <c r="N72" s="272">
        <v>5647.3860000000004</v>
      </c>
      <c r="O72" s="272">
        <v>205.83918</v>
      </c>
      <c r="P72" s="272">
        <v>1284.7051299999998</v>
      </c>
      <c r="Q72" s="272">
        <v>1189.0544199999999</v>
      </c>
      <c r="R72" s="272">
        <v>11.00253</v>
      </c>
      <c r="S72" s="272">
        <v>5096.8949299999995</v>
      </c>
      <c r="U72" s="272">
        <v>2888.6251099999999</v>
      </c>
      <c r="V72" s="272">
        <v>0</v>
      </c>
      <c r="W72" s="272">
        <v>0</v>
      </c>
      <c r="X72" s="272">
        <v>2208.26982</v>
      </c>
      <c r="Y72" s="272">
        <v>0</v>
      </c>
      <c r="Z72" s="272">
        <v>0</v>
      </c>
      <c r="AA72" s="272">
        <v>0</v>
      </c>
      <c r="AB72" s="272">
        <v>2208.26982</v>
      </c>
      <c r="AD72" s="272">
        <v>4207.6866799999998</v>
      </c>
      <c r="AE72" s="157">
        <v>3486.6013599999997</v>
      </c>
      <c r="AF72" s="184">
        <v>-1610.29357</v>
      </c>
      <c r="AG72" s="272">
        <v>-2531.9391600000004</v>
      </c>
      <c r="AH72" s="272">
        <v>0</v>
      </c>
      <c r="AI72" s="184">
        <v>2690.7673199999999</v>
      </c>
      <c r="AJ72" s="272">
        <v>1333.62968</v>
      </c>
      <c r="AL72" s="272">
        <v>45650</v>
      </c>
      <c r="AM72" s="184">
        <v>0</v>
      </c>
      <c r="AN72" s="272">
        <v>-5145.2479999999996</v>
      </c>
      <c r="AO72" s="343">
        <v>8440</v>
      </c>
      <c r="AP72" s="332">
        <v>8.6</v>
      </c>
      <c r="AQ72" s="448"/>
      <c r="AS72" s="455">
        <v>7222.3635599999998</v>
      </c>
      <c r="AT72" s="272">
        <v>27385.585719999999</v>
      </c>
      <c r="AU72" s="450"/>
      <c r="AV72" s="334">
        <v>15533.678749999999</v>
      </c>
      <c r="AW72" s="334">
        <v>902.44742000000008</v>
      </c>
      <c r="AX72" s="334">
        <v>2613.74809</v>
      </c>
      <c r="AY72" s="334">
        <v>19049.874260000001</v>
      </c>
      <c r="AZ72" s="334">
        <v>6214.72</v>
      </c>
      <c r="BA72" s="272">
        <v>169.25190000000001</v>
      </c>
      <c r="BB72" s="333">
        <v>1652.5765200000001</v>
      </c>
      <c r="BC72" s="272">
        <v>67.25921000000001</v>
      </c>
      <c r="BD72" s="272">
        <v>5.3325500000000003</v>
      </c>
      <c r="BE72" s="334">
        <v>3679.9741400000003</v>
      </c>
      <c r="BG72" s="331">
        <v>2986.64446</v>
      </c>
      <c r="BH72" s="331">
        <v>0</v>
      </c>
      <c r="BI72" s="331">
        <v>0</v>
      </c>
      <c r="BJ72" s="334">
        <v>693.32968000000005</v>
      </c>
      <c r="BK72" s="331">
        <v>0</v>
      </c>
      <c r="BL72" s="331">
        <v>0</v>
      </c>
      <c r="BM72" s="331">
        <v>0</v>
      </c>
      <c r="BN72" s="334">
        <v>693.32968000000005</v>
      </c>
      <c r="BP72" s="334">
        <v>5032.4390800000001</v>
      </c>
      <c r="BQ72" s="311">
        <v>3231.7175200000001</v>
      </c>
      <c r="BR72" s="272">
        <v>-448.25662</v>
      </c>
      <c r="BS72" s="461">
        <v>-2524.5397799999996</v>
      </c>
      <c r="BT72" s="272">
        <v>0</v>
      </c>
      <c r="BU72" s="272">
        <v>450.70600000000002</v>
      </c>
      <c r="BV72" s="333">
        <v>438.42971999999997</v>
      </c>
      <c r="BX72" s="272">
        <v>43400</v>
      </c>
      <c r="BY72" s="469">
        <v>0</v>
      </c>
      <c r="BZ72" s="469">
        <v>-2250</v>
      </c>
      <c r="CA72" s="552"/>
      <c r="CB72" s="335">
        <v>8.9</v>
      </c>
      <c r="CC72" s="471">
        <f t="shared" si="1"/>
        <v>8.9</v>
      </c>
      <c r="CD72" s="558"/>
      <c r="CE72" s="272"/>
      <c r="CF72" s="262"/>
      <c r="CG72" s="260"/>
      <c r="CI72" s="158">
        <v>0</v>
      </c>
      <c r="CJ72" s="331">
        <v>7112.9592758415865</v>
      </c>
      <c r="CK72" s="331">
        <v>6859.9780514837967</v>
      </c>
      <c r="CL72" s="331">
        <v>6283.9629687047045</v>
      </c>
      <c r="CM72" s="472">
        <v>6898.3611278647095</v>
      </c>
      <c r="CN72" s="472">
        <v>6832.9128293848244</v>
      </c>
      <c r="CO72" s="480">
        <v>-427.08300000000003</v>
      </c>
      <c r="CP72" s="557"/>
      <c r="CQ72" s="474">
        <v>0</v>
      </c>
      <c r="CR72" s="474">
        <v>0</v>
      </c>
    </row>
    <row r="73" spans="1:96" x14ac:dyDescent="0.2">
      <c r="A73" s="154">
        <v>226</v>
      </c>
      <c r="B73" s="156" t="s">
        <v>107</v>
      </c>
      <c r="C73" s="325">
        <v>3625</v>
      </c>
      <c r="D73" s="270">
        <v>8.8600000000000012</v>
      </c>
      <c r="E73" s="185"/>
      <c r="G73" s="272">
        <v>3964.2562900000003</v>
      </c>
      <c r="H73" s="272">
        <v>14161.8519</v>
      </c>
      <c r="I73" s="272"/>
      <c r="J73" s="272">
        <v>5261.4991300000002</v>
      </c>
      <c r="K73" s="272">
        <v>1308.17209</v>
      </c>
      <c r="L73" s="272">
        <v>1709.0795500000002</v>
      </c>
      <c r="M73" s="272">
        <v>8278.7507699999987</v>
      </c>
      <c r="N73" s="272">
        <v>4475.3959999999997</v>
      </c>
      <c r="O73" s="272">
        <v>8.0019200000000001</v>
      </c>
      <c r="P73" s="272">
        <v>434.31806</v>
      </c>
      <c r="Q73" s="272">
        <v>58.991620000000005</v>
      </c>
      <c r="R73" s="272">
        <v>2.32755</v>
      </c>
      <c r="S73" s="272">
        <v>2291.6208999999999</v>
      </c>
      <c r="U73" s="272">
        <v>1987.5366399999998</v>
      </c>
      <c r="V73" s="272">
        <v>2</v>
      </c>
      <c r="W73" s="272">
        <v>99.019940000000005</v>
      </c>
      <c r="X73" s="272">
        <v>207.06432000000001</v>
      </c>
      <c r="Y73" s="272">
        <v>0</v>
      </c>
      <c r="Z73" s="272">
        <v>0</v>
      </c>
      <c r="AA73" s="272">
        <v>0</v>
      </c>
      <c r="AB73" s="272">
        <v>207.06432000000001</v>
      </c>
      <c r="AD73" s="272">
        <v>4126.9613600000002</v>
      </c>
      <c r="AE73" s="157">
        <v>1982.34509</v>
      </c>
      <c r="AF73" s="184">
        <v>-212.25586999999999</v>
      </c>
      <c r="AG73" s="272">
        <v>-3817.6037299999998</v>
      </c>
      <c r="AH73" s="272">
        <v>1610.1867299999999</v>
      </c>
      <c r="AI73" s="184">
        <v>231.851</v>
      </c>
      <c r="AJ73" s="272">
        <v>6815.0649000000003</v>
      </c>
      <c r="AL73" s="272">
        <v>13510.47638</v>
      </c>
      <c r="AM73" s="184">
        <v>8.8245000000000005</v>
      </c>
      <c r="AN73" s="272">
        <v>510.47638000000001</v>
      </c>
      <c r="AO73" s="343">
        <v>3573</v>
      </c>
      <c r="AP73" s="332">
        <v>8.7999999999999989</v>
      </c>
      <c r="AQ73" s="448"/>
      <c r="AS73" s="455">
        <v>4014.6976199999999</v>
      </c>
      <c r="AT73" s="272">
        <v>13731.43324</v>
      </c>
      <c r="AU73" s="450"/>
      <c r="AV73" s="334">
        <v>5523.6794600000003</v>
      </c>
      <c r="AW73" s="334">
        <v>1135.0925099999999</v>
      </c>
      <c r="AX73" s="334">
        <v>1807.8230800000001</v>
      </c>
      <c r="AY73" s="334">
        <v>8466.5950499999999</v>
      </c>
      <c r="AZ73" s="334">
        <v>3670.123</v>
      </c>
      <c r="BA73" s="272">
        <v>88.547200000000004</v>
      </c>
      <c r="BB73" s="333">
        <v>493.23326000000003</v>
      </c>
      <c r="BC73" s="272">
        <v>58.178339999999999</v>
      </c>
      <c r="BD73" s="272">
        <v>0</v>
      </c>
      <c r="BE73" s="334">
        <v>2163.50765</v>
      </c>
      <c r="BG73" s="331">
        <v>1815.19966</v>
      </c>
      <c r="BH73" s="331">
        <v>0</v>
      </c>
      <c r="BI73" s="331">
        <v>0</v>
      </c>
      <c r="BJ73" s="334">
        <v>348.30799000000002</v>
      </c>
      <c r="BK73" s="331">
        <v>0</v>
      </c>
      <c r="BL73" s="331">
        <v>0</v>
      </c>
      <c r="BM73" s="334">
        <v>0</v>
      </c>
      <c r="BN73" s="334">
        <v>348.30799000000002</v>
      </c>
      <c r="BP73" s="334">
        <v>4475.2693499999996</v>
      </c>
      <c r="BQ73" s="311">
        <v>2152.2645000000002</v>
      </c>
      <c r="BR73" s="272">
        <v>-11.24315</v>
      </c>
      <c r="BS73" s="461">
        <v>-1575.2277900000001</v>
      </c>
      <c r="BT73" s="272">
        <v>513.32725000000005</v>
      </c>
      <c r="BU73" s="272">
        <v>150.19999999999999</v>
      </c>
      <c r="BV73" s="333">
        <v>7122.6554299999998</v>
      </c>
      <c r="BX73" s="272">
        <v>13268.5597</v>
      </c>
      <c r="BY73" s="469">
        <v>-296.78234999999995</v>
      </c>
      <c r="BZ73" s="469">
        <v>-241.91667999999999</v>
      </c>
      <c r="CA73" s="552"/>
      <c r="CB73" s="335">
        <v>9.0000000000000018</v>
      </c>
      <c r="CC73" s="471">
        <f t="shared" si="1"/>
        <v>9.0000000000000018</v>
      </c>
      <c r="CD73" s="558"/>
      <c r="CE73" s="272"/>
      <c r="CF73" s="262"/>
      <c r="CI73" s="158">
        <v>0</v>
      </c>
      <c r="CJ73" s="331">
        <v>3741.7246723133994</v>
      </c>
      <c r="CK73" s="331">
        <v>3475.8956074261464</v>
      </c>
      <c r="CL73" s="331">
        <v>3551.2177842495053</v>
      </c>
      <c r="CM73" s="472">
        <v>3779.2470454985514</v>
      </c>
      <c r="CN73" s="472">
        <v>3855.2815631910762</v>
      </c>
      <c r="CO73" s="480">
        <v>-29.722999999999999</v>
      </c>
      <c r="CP73" s="557"/>
      <c r="CQ73" s="474">
        <v>104.72180999999999</v>
      </c>
      <c r="CR73" s="474">
        <v>90.032939999999996</v>
      </c>
    </row>
    <row r="74" spans="1:96" x14ac:dyDescent="0.2">
      <c r="A74" s="154">
        <v>230</v>
      </c>
      <c r="B74" s="156" t="s">
        <v>108</v>
      </c>
      <c r="C74" s="325">
        <v>2216</v>
      </c>
      <c r="D74" s="270">
        <v>7.86</v>
      </c>
      <c r="E74" s="185"/>
      <c r="G74" s="272">
        <v>1607.99775</v>
      </c>
      <c r="H74" s="272">
        <v>7439.66453</v>
      </c>
      <c r="I74" s="272"/>
      <c r="J74" s="272">
        <v>2860.3678199999999</v>
      </c>
      <c r="K74" s="272">
        <v>586.60861999999997</v>
      </c>
      <c r="L74" s="272">
        <v>737.65147000000002</v>
      </c>
      <c r="M74" s="272">
        <v>4184.6279100000002</v>
      </c>
      <c r="N74" s="272">
        <v>1707.7070000000001</v>
      </c>
      <c r="O74" s="272">
        <v>46.301870000000001</v>
      </c>
      <c r="P74" s="272">
        <v>18.608499999999999</v>
      </c>
      <c r="Q74" s="272">
        <v>254.64801</v>
      </c>
      <c r="R74" s="272">
        <v>0.11551</v>
      </c>
      <c r="S74" s="272">
        <v>342.89400000000001</v>
      </c>
      <c r="U74" s="272">
        <v>821.83652000000006</v>
      </c>
      <c r="V74" s="272">
        <v>0</v>
      </c>
      <c r="W74" s="272">
        <v>25.68591</v>
      </c>
      <c r="X74" s="272">
        <v>-504.62842999999998</v>
      </c>
      <c r="Y74" s="272">
        <v>0</v>
      </c>
      <c r="Z74" s="272">
        <v>0</v>
      </c>
      <c r="AA74" s="272">
        <v>0</v>
      </c>
      <c r="AB74" s="272">
        <v>-504.62842999999998</v>
      </c>
      <c r="AD74" s="272">
        <v>7522.5820800000001</v>
      </c>
      <c r="AE74" s="157">
        <v>317.74147999999997</v>
      </c>
      <c r="AF74" s="184">
        <v>0.53339000000000003</v>
      </c>
      <c r="AG74" s="272">
        <v>-607.92188999999996</v>
      </c>
      <c r="AH74" s="272">
        <v>5.81691</v>
      </c>
      <c r="AI74" s="184">
        <v>430.66899999999998</v>
      </c>
      <c r="AJ74" s="272">
        <v>1965.6679899999999</v>
      </c>
      <c r="AL74" s="272">
        <v>1389.4759999999999</v>
      </c>
      <c r="AM74" s="184">
        <v>-7.38</v>
      </c>
      <c r="AN74" s="272">
        <v>-347.36799999999999</v>
      </c>
      <c r="AO74" s="343">
        <v>2170</v>
      </c>
      <c r="AP74" s="332">
        <v>8.9</v>
      </c>
      <c r="AQ74" s="448"/>
      <c r="AS74" s="455">
        <v>1686.3781799999999</v>
      </c>
      <c r="AT74" s="272">
        <v>7303.1770299999998</v>
      </c>
      <c r="AU74" s="450"/>
      <c r="AV74" s="334">
        <v>3384.9887100000001</v>
      </c>
      <c r="AW74" s="334">
        <v>510.12671999999998</v>
      </c>
      <c r="AX74" s="334">
        <v>975.25075000000004</v>
      </c>
      <c r="AY74" s="334">
        <v>4870.36618</v>
      </c>
      <c r="AZ74" s="334">
        <v>2180.8539999999998</v>
      </c>
      <c r="BA74" s="272">
        <v>51.817860000000003</v>
      </c>
      <c r="BB74" s="333">
        <v>14.29766</v>
      </c>
      <c r="BC74" s="272">
        <v>259.35446000000002</v>
      </c>
      <c r="BD74" s="272">
        <v>9.3049999999999994E-2</v>
      </c>
      <c r="BE74" s="334">
        <v>1731.2029399999999</v>
      </c>
      <c r="BG74" s="331">
        <v>838.81061</v>
      </c>
      <c r="BH74" s="331">
        <v>0</v>
      </c>
      <c r="BI74" s="331">
        <v>0</v>
      </c>
      <c r="BJ74" s="334">
        <v>892.3923299999999</v>
      </c>
      <c r="BK74" s="334">
        <v>0</v>
      </c>
      <c r="BL74" s="331">
        <v>0</v>
      </c>
      <c r="BM74" s="331">
        <v>0</v>
      </c>
      <c r="BN74" s="334">
        <v>892.3923299999999</v>
      </c>
      <c r="BP74" s="334">
        <v>8414.9744100000007</v>
      </c>
      <c r="BQ74" s="311">
        <v>1728.8513700000001</v>
      </c>
      <c r="BR74" s="272">
        <v>-2.3515700000000002</v>
      </c>
      <c r="BS74" s="461">
        <v>-970.30619999999999</v>
      </c>
      <c r="BT74" s="272">
        <v>32.701749999999997</v>
      </c>
      <c r="BU74" s="272">
        <v>6.06778</v>
      </c>
      <c r="BV74" s="333">
        <v>2235.2155899999998</v>
      </c>
      <c r="BX74" s="272">
        <v>1042.1079999999999</v>
      </c>
      <c r="BY74" s="469">
        <v>0</v>
      </c>
      <c r="BZ74" s="469">
        <v>-347.36799999999999</v>
      </c>
      <c r="CA74" s="552"/>
      <c r="CB74" s="335">
        <v>8.9</v>
      </c>
      <c r="CC74" s="471">
        <f t="shared" si="1"/>
        <v>8.9</v>
      </c>
      <c r="CD74" s="558"/>
      <c r="CE74" s="272"/>
      <c r="CF74" s="262"/>
      <c r="CI74" s="158">
        <v>0</v>
      </c>
      <c r="CJ74" s="331">
        <v>2235.2087485842744</v>
      </c>
      <c r="CK74" s="331">
        <v>2152.3487401047682</v>
      </c>
      <c r="CL74" s="331">
        <v>2325.872472682564</v>
      </c>
      <c r="CM74" s="472">
        <v>2581.672079532927</v>
      </c>
      <c r="CN74" s="472">
        <v>2776.338421172532</v>
      </c>
      <c r="CO74" s="480">
        <v>-399.18799999999999</v>
      </c>
      <c r="CP74" s="557"/>
      <c r="CQ74" s="474">
        <v>0</v>
      </c>
      <c r="CR74" s="474">
        <v>0</v>
      </c>
    </row>
    <row r="75" spans="1:96" x14ac:dyDescent="0.2">
      <c r="A75" s="154">
        <v>231</v>
      </c>
      <c r="B75" s="156" t="s">
        <v>109</v>
      </c>
      <c r="C75" s="325">
        <v>1208</v>
      </c>
      <c r="D75" s="270">
        <v>10.359999999999998</v>
      </c>
      <c r="E75" s="185"/>
      <c r="G75" s="272">
        <v>2790.5747299999998</v>
      </c>
      <c r="H75" s="272">
        <v>6643.22444</v>
      </c>
      <c r="I75" s="272"/>
      <c r="J75" s="272">
        <v>2513.9560099999999</v>
      </c>
      <c r="K75" s="272">
        <v>1064.7146299999999</v>
      </c>
      <c r="L75" s="272">
        <v>907.45802000000003</v>
      </c>
      <c r="M75" s="272">
        <v>4486.1286600000003</v>
      </c>
      <c r="N75" s="272">
        <v>-1046.6210000000001</v>
      </c>
      <c r="O75" s="272">
        <v>9.5087499999999991</v>
      </c>
      <c r="P75" s="272">
        <v>89.629440000000002</v>
      </c>
      <c r="Q75" s="272">
        <v>46.444669999999995</v>
      </c>
      <c r="R75" s="272">
        <v>18.076319999999999</v>
      </c>
      <c r="S75" s="272">
        <v>-464.89438999999999</v>
      </c>
      <c r="U75" s="272">
        <v>665.60033999999996</v>
      </c>
      <c r="V75" s="272">
        <v>0</v>
      </c>
      <c r="W75" s="272">
        <v>0</v>
      </c>
      <c r="X75" s="272">
        <v>-1130.4947299999999</v>
      </c>
      <c r="Y75" s="272">
        <v>0</v>
      </c>
      <c r="Z75" s="272">
        <v>0</v>
      </c>
      <c r="AA75" s="272">
        <v>0</v>
      </c>
      <c r="AB75" s="272">
        <v>-1130.4947299999999</v>
      </c>
      <c r="AD75" s="272">
        <v>2568.1189800000002</v>
      </c>
      <c r="AE75" s="157">
        <v>-529.42876999999999</v>
      </c>
      <c r="AF75" s="184">
        <v>-64.534379999999999</v>
      </c>
      <c r="AG75" s="272">
        <v>-656.12588000000005</v>
      </c>
      <c r="AH75" s="272">
        <v>0</v>
      </c>
      <c r="AI75" s="184">
        <v>339.04240000000004</v>
      </c>
      <c r="AJ75" s="272">
        <v>185.90467999999998</v>
      </c>
      <c r="AL75" s="272">
        <v>6635.3444500000005</v>
      </c>
      <c r="AM75" s="184">
        <v>0</v>
      </c>
      <c r="AN75" s="272">
        <v>-606.81656000000009</v>
      </c>
      <c r="AO75" s="343">
        <v>1241</v>
      </c>
      <c r="AP75" s="332">
        <v>10.3</v>
      </c>
      <c r="AQ75" s="448"/>
      <c r="AS75" s="455">
        <v>2397.7933800000001</v>
      </c>
      <c r="AT75" s="272">
        <v>6999.3790399999998</v>
      </c>
      <c r="AU75" s="450"/>
      <c r="AV75" s="334">
        <v>2689.1608500000002</v>
      </c>
      <c r="AW75" s="334">
        <v>974.93421999999998</v>
      </c>
      <c r="AX75" s="334">
        <v>966.82048999999995</v>
      </c>
      <c r="AY75" s="334">
        <v>4630.9155599999995</v>
      </c>
      <c r="AZ75" s="334">
        <v>-681.09799999999996</v>
      </c>
      <c r="BA75" s="272">
        <v>1.80219</v>
      </c>
      <c r="BB75" s="333">
        <v>174.26379999999997</v>
      </c>
      <c r="BC75" s="272">
        <v>73.610330000000005</v>
      </c>
      <c r="BD75" s="272">
        <v>4.8318900000000005</v>
      </c>
      <c r="BE75" s="334">
        <v>-755.45127000000002</v>
      </c>
      <c r="BG75" s="331">
        <v>567.08901000000003</v>
      </c>
      <c r="BH75" s="331">
        <v>0</v>
      </c>
      <c r="BI75" s="331">
        <v>0</v>
      </c>
      <c r="BJ75" s="334">
        <v>-1322.5402799999999</v>
      </c>
      <c r="BK75" s="334">
        <v>0</v>
      </c>
      <c r="BL75" s="334">
        <v>0</v>
      </c>
      <c r="BM75" s="331">
        <v>0</v>
      </c>
      <c r="BN75" s="334">
        <v>-1322.5402799999999</v>
      </c>
      <c r="BP75" s="334">
        <v>1245.5787</v>
      </c>
      <c r="BQ75" s="311">
        <v>-359.66727000000003</v>
      </c>
      <c r="BR75" s="272">
        <v>395.78399999999999</v>
      </c>
      <c r="BS75" s="461">
        <v>-1379.8660600000001</v>
      </c>
      <c r="BT75" s="272">
        <v>20.378490000000003</v>
      </c>
      <c r="BU75" s="272">
        <v>924.21900000000005</v>
      </c>
      <c r="BV75" s="333">
        <v>357.24353000000002</v>
      </c>
      <c r="BX75" s="272">
        <v>8503.5655100000004</v>
      </c>
      <c r="BY75" s="469">
        <v>0</v>
      </c>
      <c r="BZ75" s="469">
        <v>1868.2210600000001</v>
      </c>
      <c r="CA75" s="552"/>
      <c r="CB75" s="335">
        <v>10.299999999999999</v>
      </c>
      <c r="CC75" s="471">
        <f t="shared" si="1"/>
        <v>10.299999999999999</v>
      </c>
      <c r="CD75" s="558"/>
      <c r="CE75" s="272"/>
      <c r="CF75" s="262"/>
      <c r="CG75" s="260"/>
      <c r="CI75" s="158">
        <v>0</v>
      </c>
      <c r="CJ75" s="331">
        <v>-868.95162264092596</v>
      </c>
      <c r="CK75" s="331">
        <v>-577.53113837242586</v>
      </c>
      <c r="CL75" s="331">
        <v>-572.04070582751001</v>
      </c>
      <c r="CM75" s="472">
        <v>-543.87014035170353</v>
      </c>
      <c r="CN75" s="472">
        <v>-528.85561477547833</v>
      </c>
      <c r="CO75" s="480">
        <v>-14.318</v>
      </c>
      <c r="CP75" s="557"/>
      <c r="CQ75" s="474">
        <v>0</v>
      </c>
      <c r="CR75" s="474">
        <v>0</v>
      </c>
    </row>
    <row r="76" spans="1:96" x14ac:dyDescent="0.2">
      <c r="A76" s="154">
        <v>232</v>
      </c>
      <c r="B76" s="156" t="s">
        <v>110</v>
      </c>
      <c r="C76" s="325">
        <v>12618</v>
      </c>
      <c r="D76" s="270">
        <v>9.36</v>
      </c>
      <c r="E76" s="185"/>
      <c r="G76" s="272">
        <v>9056.57251</v>
      </c>
      <c r="H76" s="272">
        <v>42381.074430000001</v>
      </c>
      <c r="I76" s="272"/>
      <c r="J76" s="272">
        <v>20764.587769999998</v>
      </c>
      <c r="K76" s="272">
        <v>4381.9595899999995</v>
      </c>
      <c r="L76" s="272">
        <v>4095.8452900000002</v>
      </c>
      <c r="M76" s="272">
        <v>29242.392649999998</v>
      </c>
      <c r="N76" s="272">
        <v>10094.005999999999</v>
      </c>
      <c r="O76" s="272">
        <v>57.84704</v>
      </c>
      <c r="P76" s="272">
        <v>1563.90174</v>
      </c>
      <c r="Q76" s="272">
        <v>5092.8122699999994</v>
      </c>
      <c r="R76" s="272">
        <v>711.65473999999995</v>
      </c>
      <c r="S76" s="272">
        <v>8961.7013299999999</v>
      </c>
      <c r="U76" s="272">
        <v>5360.9909699999998</v>
      </c>
      <c r="V76" s="272">
        <v>336.51478000000003</v>
      </c>
      <c r="W76" s="272">
        <v>0</v>
      </c>
      <c r="X76" s="272">
        <v>3937.22514</v>
      </c>
      <c r="Y76" s="272">
        <v>-32.924039999999998</v>
      </c>
      <c r="Z76" s="272">
        <v>0</v>
      </c>
      <c r="AA76" s="272">
        <v>0</v>
      </c>
      <c r="AB76" s="272">
        <v>3970.1491800000003</v>
      </c>
      <c r="AD76" s="272">
        <v>1153.89408</v>
      </c>
      <c r="AE76" s="157">
        <v>9246.3888900000002</v>
      </c>
      <c r="AF76" s="184">
        <v>-51.827220000000004</v>
      </c>
      <c r="AG76" s="272">
        <v>-9159.7659999999996</v>
      </c>
      <c r="AH76" s="272">
        <v>56</v>
      </c>
      <c r="AI76" s="184">
        <v>3499.7819800000002</v>
      </c>
      <c r="AJ76" s="272">
        <v>29815.187249999999</v>
      </c>
      <c r="AL76" s="272">
        <v>71574.599099999992</v>
      </c>
      <c r="AM76" s="184">
        <v>30.138020000000001</v>
      </c>
      <c r="AN76" s="272">
        <v>5707.14282</v>
      </c>
      <c r="AO76" s="343">
        <v>12518</v>
      </c>
      <c r="AP76" s="332">
        <v>9.4</v>
      </c>
      <c r="AQ76" s="448"/>
      <c r="AS76" s="455">
        <v>9283.2975299999998</v>
      </c>
      <c r="AT76" s="272">
        <v>42559.401290000002</v>
      </c>
      <c r="AU76" s="450"/>
      <c r="AV76" s="334">
        <v>22090.522789999999</v>
      </c>
      <c r="AW76" s="334">
        <v>3781.4083599999999</v>
      </c>
      <c r="AX76" s="334">
        <v>4105.2219400000004</v>
      </c>
      <c r="AY76" s="334">
        <v>29977.15309</v>
      </c>
      <c r="AZ76" s="334">
        <v>9885.1839999999993</v>
      </c>
      <c r="BA76" s="272">
        <v>73.047110000000004</v>
      </c>
      <c r="BB76" s="333">
        <v>1495.5357799999999</v>
      </c>
      <c r="BC76" s="272">
        <v>2085.6918999999998</v>
      </c>
      <c r="BD76" s="272">
        <v>703.30898000000002</v>
      </c>
      <c r="BE76" s="334">
        <v>6610.8088299999999</v>
      </c>
      <c r="BG76" s="331">
        <v>5616.9506700000002</v>
      </c>
      <c r="BH76" s="331">
        <v>0</v>
      </c>
      <c r="BI76" s="331">
        <v>0</v>
      </c>
      <c r="BJ76" s="334">
        <v>993.85816</v>
      </c>
      <c r="BK76" s="334">
        <v>-32.395630000000004</v>
      </c>
      <c r="BL76" s="331">
        <v>0</v>
      </c>
      <c r="BM76" s="331">
        <v>0</v>
      </c>
      <c r="BN76" s="334">
        <v>1026.25379</v>
      </c>
      <c r="BP76" s="334">
        <v>2180.1478700000002</v>
      </c>
      <c r="BQ76" s="311">
        <v>6552.1435199999996</v>
      </c>
      <c r="BR76" s="272">
        <v>-58.665309999999998</v>
      </c>
      <c r="BS76" s="461">
        <v>-2856.3746800000004</v>
      </c>
      <c r="BT76" s="272">
        <v>0</v>
      </c>
      <c r="BU76" s="272">
        <v>561.89350000000002</v>
      </c>
      <c r="BV76" s="333">
        <v>26761.19716</v>
      </c>
      <c r="BX76" s="272">
        <v>66998.398920000007</v>
      </c>
      <c r="BY76" s="469">
        <v>-151.42338000000001</v>
      </c>
      <c r="BZ76" s="469">
        <v>-4576.2001799999998</v>
      </c>
      <c r="CA76" s="552"/>
      <c r="CB76" s="335">
        <v>9.6</v>
      </c>
      <c r="CC76" s="471">
        <f t="shared" si="1"/>
        <v>9.6</v>
      </c>
      <c r="CD76" s="558"/>
      <c r="CE76" s="272"/>
      <c r="CF76" s="262"/>
      <c r="CG76" s="260"/>
      <c r="CI76" s="158">
        <v>940</v>
      </c>
      <c r="CJ76" s="331">
        <v>10968.366841594116</v>
      </c>
      <c r="CK76" s="331">
        <v>11089.008083952222</v>
      </c>
      <c r="CL76" s="331">
        <v>11064.005308277307</v>
      </c>
      <c r="CM76" s="472">
        <v>11403.524008434961</v>
      </c>
      <c r="CN76" s="472">
        <v>11536.833728026055</v>
      </c>
      <c r="CO76" s="480">
        <v>-286.238</v>
      </c>
      <c r="CP76" s="557"/>
      <c r="CQ76" s="474">
        <v>74.70177000000001</v>
      </c>
      <c r="CR76" s="474">
        <v>64.681250000000006</v>
      </c>
    </row>
    <row r="77" spans="1:96" x14ac:dyDescent="0.2">
      <c r="A77" s="154">
        <v>233</v>
      </c>
      <c r="B77" s="156" t="s">
        <v>111</v>
      </c>
      <c r="C77" s="325">
        <v>15165</v>
      </c>
      <c r="D77" s="270">
        <v>9.11</v>
      </c>
      <c r="E77" s="185"/>
      <c r="G77" s="272">
        <v>7920.0106699999997</v>
      </c>
      <c r="H77" s="272">
        <v>47229.756270000005</v>
      </c>
      <c r="I77" s="272"/>
      <c r="J77" s="272">
        <v>25715.478010000003</v>
      </c>
      <c r="K77" s="272">
        <v>3465.6525499999998</v>
      </c>
      <c r="L77" s="272">
        <v>3991.0003400000001</v>
      </c>
      <c r="M77" s="272">
        <v>33172.130899999996</v>
      </c>
      <c r="N77" s="272">
        <v>17195.324000000001</v>
      </c>
      <c r="O77" s="272">
        <v>206.50062</v>
      </c>
      <c r="P77" s="272">
        <v>1521.42563</v>
      </c>
      <c r="Q77" s="272">
        <v>515.40072999999995</v>
      </c>
      <c r="R77" s="272">
        <v>240.49268000000001</v>
      </c>
      <c r="S77" s="272">
        <v>10107.2099</v>
      </c>
      <c r="U77" s="272">
        <v>8507.0574499999984</v>
      </c>
      <c r="V77" s="272">
        <v>536.16492000000005</v>
      </c>
      <c r="W77" s="272">
        <v>0</v>
      </c>
      <c r="X77" s="272">
        <v>2136.3173700000002</v>
      </c>
      <c r="Y77" s="272">
        <v>-144.38628</v>
      </c>
      <c r="Z77" s="272">
        <v>0</v>
      </c>
      <c r="AA77" s="272">
        <v>0</v>
      </c>
      <c r="AB77" s="272">
        <v>2280.7036499999999</v>
      </c>
      <c r="AD77" s="272">
        <v>13769.557719999999</v>
      </c>
      <c r="AE77" s="157">
        <v>10462.414060000001</v>
      </c>
      <c r="AF77" s="184">
        <v>-180.96076000000002</v>
      </c>
      <c r="AG77" s="272">
        <v>-16882.152429999998</v>
      </c>
      <c r="AH77" s="272">
        <v>96.1</v>
      </c>
      <c r="AI77" s="184">
        <v>5711.8081500000008</v>
      </c>
      <c r="AJ77" s="272">
        <v>16940.497309999999</v>
      </c>
      <c r="AL77" s="272">
        <v>67039.223109999992</v>
      </c>
      <c r="AM77" s="184">
        <v>148.36194</v>
      </c>
      <c r="AN77" s="272">
        <v>-507.36753999999996</v>
      </c>
      <c r="AO77" s="343">
        <v>15050</v>
      </c>
      <c r="AP77" s="332">
        <v>9.1</v>
      </c>
      <c r="AQ77" s="448"/>
      <c r="AS77" s="455">
        <v>7725.7673399999994</v>
      </c>
      <c r="AT77" s="272">
        <v>46216.718059999999</v>
      </c>
      <c r="AU77" s="450"/>
      <c r="AV77" s="334">
        <v>26440.88019</v>
      </c>
      <c r="AW77" s="334">
        <v>2827.1030299999998</v>
      </c>
      <c r="AX77" s="334">
        <v>4327.3681900000001</v>
      </c>
      <c r="AY77" s="334">
        <v>33595.351409999996</v>
      </c>
      <c r="AZ77" s="334">
        <v>15120.644</v>
      </c>
      <c r="BA77" s="272">
        <v>229.33070999999998</v>
      </c>
      <c r="BB77" s="333">
        <v>1645.71504</v>
      </c>
      <c r="BC77" s="272">
        <v>690.83336999999995</v>
      </c>
      <c r="BD77" s="272">
        <v>42.691859999999998</v>
      </c>
      <c r="BE77" s="334">
        <v>9551.5874000000003</v>
      </c>
      <c r="BG77" s="331">
        <v>6275.35736</v>
      </c>
      <c r="BH77" s="334">
        <v>885.30100000000004</v>
      </c>
      <c r="BI77" s="331">
        <v>0</v>
      </c>
      <c r="BJ77" s="334">
        <v>4161.5310399999998</v>
      </c>
      <c r="BK77" s="331">
        <v>-129.11204000000001</v>
      </c>
      <c r="BL77" s="331">
        <v>0</v>
      </c>
      <c r="BM77" s="331">
        <v>-0.3</v>
      </c>
      <c r="BN77" s="334">
        <v>4290.94308</v>
      </c>
      <c r="BP77" s="334">
        <v>18060.500800000002</v>
      </c>
      <c r="BQ77" s="311">
        <v>10411.758210000002</v>
      </c>
      <c r="BR77" s="272">
        <v>-25.130189999999999</v>
      </c>
      <c r="BS77" s="461">
        <v>-12331.77801</v>
      </c>
      <c r="BT77" s="272">
        <v>462.40989000000002</v>
      </c>
      <c r="BU77" s="272">
        <v>159.80500000000001</v>
      </c>
      <c r="BV77" s="333">
        <v>18895.17929</v>
      </c>
      <c r="BX77" s="272">
        <v>73463.595570000005</v>
      </c>
      <c r="BY77" s="469">
        <v>-716.3718100000001</v>
      </c>
      <c r="BZ77" s="469">
        <v>6424.3724599999996</v>
      </c>
      <c r="CA77" s="552"/>
      <c r="CB77" s="335">
        <v>9.1</v>
      </c>
      <c r="CC77" s="471">
        <f t="shared" si="1"/>
        <v>9.1</v>
      </c>
      <c r="CD77" s="558"/>
      <c r="CE77" s="272"/>
      <c r="CF77" s="262"/>
      <c r="CI77" s="158">
        <v>0</v>
      </c>
      <c r="CJ77" s="331">
        <v>15847.901063004081</v>
      </c>
      <c r="CK77" s="331">
        <v>16554.870499204149</v>
      </c>
      <c r="CL77" s="331">
        <v>16217.546431236224</v>
      </c>
      <c r="CM77" s="472">
        <v>16901.474018261051</v>
      </c>
      <c r="CN77" s="472">
        <v>16789.125069884452</v>
      </c>
      <c r="CO77" s="480">
        <v>195.952</v>
      </c>
      <c r="CP77" s="557"/>
      <c r="CQ77" s="474">
        <v>89.517560000000003</v>
      </c>
      <c r="CR77" s="474">
        <v>94.785529999999994</v>
      </c>
    </row>
    <row r="78" spans="1:96" x14ac:dyDescent="0.2">
      <c r="A78" s="154">
        <v>235</v>
      </c>
      <c r="B78" s="156" t="s">
        <v>112</v>
      </c>
      <c r="C78" s="325">
        <v>10270</v>
      </c>
      <c r="D78" s="270">
        <v>4.3600000000000003</v>
      </c>
      <c r="E78" s="185"/>
      <c r="G78" s="272">
        <v>13593.269980000001</v>
      </c>
      <c r="H78" s="272">
        <v>52715.566989999999</v>
      </c>
      <c r="I78" s="272"/>
      <c r="J78" s="272">
        <v>25326.46328</v>
      </c>
      <c r="K78" s="272">
        <v>1695.2006000000001</v>
      </c>
      <c r="L78" s="272">
        <v>4882.2659699999995</v>
      </c>
      <c r="M78" s="272">
        <v>31903.92985</v>
      </c>
      <c r="N78" s="272">
        <v>18007.076079999999</v>
      </c>
      <c r="O78" s="272">
        <v>664.17856999999992</v>
      </c>
      <c r="P78" s="272">
        <v>0</v>
      </c>
      <c r="Q78" s="272">
        <v>123.17755</v>
      </c>
      <c r="R78" s="272">
        <v>7.1417000000000002</v>
      </c>
      <c r="S78" s="272">
        <v>11568.923339999999</v>
      </c>
      <c r="U78" s="272">
        <v>8981.0427</v>
      </c>
      <c r="V78" s="272">
        <v>0</v>
      </c>
      <c r="W78" s="272">
        <v>0</v>
      </c>
      <c r="X78" s="272">
        <v>2587.8806400000003</v>
      </c>
      <c r="Y78" s="272">
        <v>0</v>
      </c>
      <c r="Z78" s="272">
        <v>0</v>
      </c>
      <c r="AA78" s="272">
        <v>0</v>
      </c>
      <c r="AB78" s="272">
        <v>2587.8806400000003</v>
      </c>
      <c r="AD78" s="272">
        <v>58353.698270000008</v>
      </c>
      <c r="AE78" s="157">
        <v>11004.63867</v>
      </c>
      <c r="AF78" s="184">
        <v>-564.28467000000001</v>
      </c>
      <c r="AG78" s="272">
        <v>-9309.8938100000014</v>
      </c>
      <c r="AH78" s="272">
        <v>156.04588000000001</v>
      </c>
      <c r="AI78" s="184">
        <v>651.58060999999998</v>
      </c>
      <c r="AJ78" s="272">
        <v>20702.446960000001</v>
      </c>
      <c r="AL78" s="272">
        <v>0</v>
      </c>
      <c r="AM78" s="184">
        <v>42</v>
      </c>
      <c r="AN78" s="272">
        <v>0</v>
      </c>
      <c r="AO78" s="343">
        <v>10253</v>
      </c>
      <c r="AP78" s="332">
        <v>4.4000000000000004</v>
      </c>
      <c r="AQ78" s="448"/>
      <c r="AS78" s="455">
        <v>13059.88183</v>
      </c>
      <c r="AT78" s="272">
        <v>52982.398119999998</v>
      </c>
      <c r="AU78" s="450"/>
      <c r="AV78" s="334">
        <v>19101.796549999999</v>
      </c>
      <c r="AW78" s="334">
        <v>1341.3047099999999</v>
      </c>
      <c r="AX78" s="334">
        <v>6091.17389</v>
      </c>
      <c r="AY78" s="334">
        <v>26534.275149999998</v>
      </c>
      <c r="AZ78" s="334">
        <v>21541.089</v>
      </c>
      <c r="BA78" s="272">
        <v>893.47195999999997</v>
      </c>
      <c r="BB78" s="333">
        <v>0.22550000000000001</v>
      </c>
      <c r="BC78" s="272">
        <v>123.57754</v>
      </c>
      <c r="BD78" s="272">
        <v>16.535130000000002</v>
      </c>
      <c r="BE78" s="334">
        <v>9153.1367300000002</v>
      </c>
      <c r="BG78" s="331">
        <v>9280.4290399999991</v>
      </c>
      <c r="BH78" s="331">
        <v>0</v>
      </c>
      <c r="BI78" s="331">
        <v>0</v>
      </c>
      <c r="BJ78" s="334">
        <v>-127.29231</v>
      </c>
      <c r="BK78" s="331">
        <v>0</v>
      </c>
      <c r="BL78" s="331">
        <v>0</v>
      </c>
      <c r="BM78" s="331">
        <v>0</v>
      </c>
      <c r="BN78" s="334">
        <v>-127.29231</v>
      </c>
      <c r="BP78" s="334">
        <v>58226.405960000004</v>
      </c>
      <c r="BQ78" s="311">
        <v>9153.1367300000002</v>
      </c>
      <c r="BR78" s="272">
        <v>0</v>
      </c>
      <c r="BS78" s="461">
        <v>-12077.218050000001</v>
      </c>
      <c r="BT78" s="272">
        <v>306.37486999999999</v>
      </c>
      <c r="BU78" s="272">
        <v>78.031610000000001</v>
      </c>
      <c r="BV78" s="333">
        <v>17695.050910000002</v>
      </c>
      <c r="BX78" s="272">
        <v>0</v>
      </c>
      <c r="BY78" s="469">
        <v>119.30286</v>
      </c>
      <c r="BZ78" s="469">
        <v>0</v>
      </c>
      <c r="CA78" s="552"/>
      <c r="CB78" s="335">
        <v>4.7</v>
      </c>
      <c r="CC78" s="471">
        <f t="shared" si="1"/>
        <v>4.7</v>
      </c>
      <c r="CD78" s="558"/>
      <c r="CE78" s="272"/>
      <c r="CF78" s="262"/>
      <c r="CI78" s="158">
        <v>0</v>
      </c>
      <c r="CJ78" s="331">
        <v>22404.817497838972</v>
      </c>
      <c r="CK78" s="331">
        <v>22171.645954021315</v>
      </c>
      <c r="CL78" s="331">
        <v>22421.750173255739</v>
      </c>
      <c r="CM78" s="472">
        <v>23128.716238793553</v>
      </c>
      <c r="CN78" s="472">
        <v>23680.538270399058</v>
      </c>
      <c r="CO78" s="480">
        <v>3430.0410000000002</v>
      </c>
      <c r="CP78" s="557"/>
      <c r="CQ78" s="474">
        <v>0</v>
      </c>
      <c r="CR78" s="474">
        <v>0</v>
      </c>
    </row>
    <row r="79" spans="1:96" x14ac:dyDescent="0.2">
      <c r="A79" s="154">
        <v>236</v>
      </c>
      <c r="B79" s="156" t="s">
        <v>113</v>
      </c>
      <c r="C79" s="325">
        <v>4137</v>
      </c>
      <c r="D79" s="270">
        <v>9.36</v>
      </c>
      <c r="E79" s="185"/>
      <c r="G79" s="272">
        <v>3360.1567700000001</v>
      </c>
      <c r="H79" s="272">
        <v>15375.07554</v>
      </c>
      <c r="I79" s="272"/>
      <c r="J79" s="272">
        <v>6842.0138699999998</v>
      </c>
      <c r="K79" s="272">
        <v>783.94538999999997</v>
      </c>
      <c r="L79" s="272">
        <v>1129.6880000000001</v>
      </c>
      <c r="M79" s="272">
        <v>8755.6472599999997</v>
      </c>
      <c r="N79" s="272">
        <v>5695.0360000000001</v>
      </c>
      <c r="O79" s="272">
        <v>0</v>
      </c>
      <c r="P79" s="272">
        <v>553.19754</v>
      </c>
      <c r="Q79" s="272">
        <v>114.21260000000001</v>
      </c>
      <c r="R79" s="272">
        <v>5.8593900000000003</v>
      </c>
      <c r="S79" s="272">
        <v>1990.9201599999999</v>
      </c>
      <c r="U79" s="272">
        <v>1730.60751</v>
      </c>
      <c r="V79" s="272">
        <v>0</v>
      </c>
      <c r="W79" s="272">
        <v>0</v>
      </c>
      <c r="X79" s="272">
        <v>260.31265000000002</v>
      </c>
      <c r="Y79" s="272">
        <v>0</v>
      </c>
      <c r="Z79" s="272">
        <v>0</v>
      </c>
      <c r="AA79" s="272">
        <v>0</v>
      </c>
      <c r="AB79" s="272">
        <v>260.31265000000002</v>
      </c>
      <c r="AD79" s="272">
        <v>2901.9216599999995</v>
      </c>
      <c r="AE79" s="157">
        <v>1946.69516</v>
      </c>
      <c r="AF79" s="184">
        <v>-44.225000000000001</v>
      </c>
      <c r="AG79" s="272">
        <v>-1362.03513</v>
      </c>
      <c r="AH79" s="272">
        <v>102.92107</v>
      </c>
      <c r="AI79" s="184">
        <v>77.003059999999991</v>
      </c>
      <c r="AJ79" s="272">
        <v>2712.8154800000002</v>
      </c>
      <c r="AL79" s="272">
        <v>33447.655640000004</v>
      </c>
      <c r="AM79" s="184">
        <v>-528.21643999999992</v>
      </c>
      <c r="AN79" s="272">
        <v>1340.3355200000001</v>
      </c>
      <c r="AO79" s="343">
        <v>4118</v>
      </c>
      <c r="AP79" s="332">
        <v>9.4</v>
      </c>
      <c r="AQ79" s="448"/>
      <c r="AS79" s="455">
        <v>2832.08304</v>
      </c>
      <c r="AT79" s="272">
        <v>15251.295470000001</v>
      </c>
      <c r="AU79" s="450"/>
      <c r="AV79" s="334">
        <v>7316.3635199999999</v>
      </c>
      <c r="AW79" s="334">
        <v>668.41783999999996</v>
      </c>
      <c r="AX79" s="334">
        <v>1241.7402199999999</v>
      </c>
      <c r="AY79" s="334">
        <v>9226.5215800000005</v>
      </c>
      <c r="AZ79" s="334">
        <v>5702.7929999999997</v>
      </c>
      <c r="BA79" s="272">
        <v>11.82569</v>
      </c>
      <c r="BB79" s="333">
        <v>1012.92436</v>
      </c>
      <c r="BC79" s="272">
        <v>73.501570000000001</v>
      </c>
      <c r="BD79" s="272">
        <v>5.7908999999999997</v>
      </c>
      <c r="BE79" s="334">
        <v>1576.71415</v>
      </c>
      <c r="BG79" s="331">
        <v>1736.03631</v>
      </c>
      <c r="BH79" s="331">
        <v>0</v>
      </c>
      <c r="BI79" s="331">
        <v>0</v>
      </c>
      <c r="BJ79" s="334">
        <v>-159.32216</v>
      </c>
      <c r="BK79" s="331">
        <v>0</v>
      </c>
      <c r="BL79" s="331">
        <v>0</v>
      </c>
      <c r="BM79" s="331">
        <v>0</v>
      </c>
      <c r="BN79" s="334">
        <v>-159.32216</v>
      </c>
      <c r="BP79" s="334">
        <v>2742.5994999999998</v>
      </c>
      <c r="BQ79" s="311">
        <v>1569.2227800000001</v>
      </c>
      <c r="BR79" s="272">
        <v>-7.4913699999999999</v>
      </c>
      <c r="BS79" s="461">
        <v>-1473.45027</v>
      </c>
      <c r="BT79" s="272">
        <v>0</v>
      </c>
      <c r="BU79" s="272">
        <v>15.42806</v>
      </c>
      <c r="BV79" s="333">
        <v>-1069.44742</v>
      </c>
      <c r="BX79" s="272">
        <v>30083.650160000001</v>
      </c>
      <c r="BY79" s="469">
        <v>-739.33293000000003</v>
      </c>
      <c r="BZ79" s="469">
        <v>-3364.0054799999998</v>
      </c>
      <c r="CA79" s="552"/>
      <c r="CB79" s="335">
        <v>9.9</v>
      </c>
      <c r="CC79" s="471">
        <f t="shared" si="1"/>
        <v>9.9</v>
      </c>
      <c r="CD79" s="558"/>
      <c r="CE79" s="272"/>
      <c r="CF79" s="262"/>
      <c r="CG79" s="260"/>
      <c r="CI79" s="158">
        <v>500</v>
      </c>
      <c r="CJ79" s="331">
        <v>5918.347707186138</v>
      </c>
      <c r="CK79" s="331">
        <v>6031.0412273915226</v>
      </c>
      <c r="CL79" s="331">
        <v>5745.3674530030376</v>
      </c>
      <c r="CM79" s="472">
        <v>5959.3076871176909</v>
      </c>
      <c r="CN79" s="472">
        <v>5822.7847337902767</v>
      </c>
      <c r="CO79" s="480">
        <v>1082.617</v>
      </c>
      <c r="CP79" s="557"/>
      <c r="CQ79" s="474">
        <v>0</v>
      </c>
      <c r="CR79" s="474">
        <v>0</v>
      </c>
    </row>
    <row r="80" spans="1:96" x14ac:dyDescent="0.2">
      <c r="A80" s="154">
        <v>239</v>
      </c>
      <c r="B80" s="156" t="s">
        <v>114</v>
      </c>
      <c r="C80" s="325">
        <v>2035</v>
      </c>
      <c r="D80" s="270">
        <v>7.86</v>
      </c>
      <c r="E80" s="185"/>
      <c r="G80" s="272">
        <v>2023.49242</v>
      </c>
      <c r="H80" s="272">
        <v>7572.2302699999991</v>
      </c>
      <c r="I80" s="272"/>
      <c r="J80" s="272">
        <v>2752.0832300000002</v>
      </c>
      <c r="K80" s="272">
        <v>1486.3165200000001</v>
      </c>
      <c r="L80" s="272">
        <v>602.7436899999999</v>
      </c>
      <c r="M80" s="272">
        <v>4841.1434400000007</v>
      </c>
      <c r="N80" s="272">
        <v>627.58799999999997</v>
      </c>
      <c r="O80" s="272">
        <v>4.8452900000000003</v>
      </c>
      <c r="P80" s="272">
        <v>218.67671999999999</v>
      </c>
      <c r="Q80" s="272">
        <v>244.91198</v>
      </c>
      <c r="R80" s="272">
        <v>0.76772000000000007</v>
      </c>
      <c r="S80" s="272">
        <v>-49.693580000000004</v>
      </c>
      <c r="U80" s="272">
        <v>715.62307999999996</v>
      </c>
      <c r="V80" s="272">
        <v>0</v>
      </c>
      <c r="W80" s="272">
        <v>0</v>
      </c>
      <c r="X80" s="272">
        <v>-765.31666000000007</v>
      </c>
      <c r="Y80" s="272">
        <v>0</v>
      </c>
      <c r="Z80" s="272">
        <v>0</v>
      </c>
      <c r="AA80" s="272">
        <v>0</v>
      </c>
      <c r="AB80" s="272">
        <v>-765.31666000000007</v>
      </c>
      <c r="AD80" s="272">
        <v>-213.05523000000005</v>
      </c>
      <c r="AE80" s="157">
        <v>250.30642</v>
      </c>
      <c r="AF80" s="184">
        <v>300</v>
      </c>
      <c r="AG80" s="272">
        <v>-1287.8155099999999</v>
      </c>
      <c r="AH80" s="272">
        <v>60</v>
      </c>
      <c r="AI80" s="184">
        <v>0</v>
      </c>
      <c r="AJ80" s="272">
        <v>337.12707</v>
      </c>
      <c r="AL80" s="272">
        <v>6075</v>
      </c>
      <c r="AM80" s="184">
        <v>22.803999999999998</v>
      </c>
      <c r="AN80" s="272">
        <v>350</v>
      </c>
      <c r="AO80" s="343">
        <v>1985</v>
      </c>
      <c r="AP80" s="332">
        <v>7.9</v>
      </c>
      <c r="AQ80" s="448"/>
      <c r="AS80" s="455">
        <v>1958.4451000000001</v>
      </c>
      <c r="AT80" s="272">
        <v>7126.1005400000004</v>
      </c>
      <c r="AU80" s="450"/>
      <c r="AV80" s="334">
        <v>2808.2812599999997</v>
      </c>
      <c r="AW80" s="334">
        <v>3612.8439900000003</v>
      </c>
      <c r="AX80" s="334">
        <v>631.44060999999999</v>
      </c>
      <c r="AY80" s="334">
        <v>7052.5658600000006</v>
      </c>
      <c r="AZ80" s="334">
        <v>1270.5619999999999</v>
      </c>
      <c r="BA80" s="272">
        <v>10.31752</v>
      </c>
      <c r="BB80" s="333">
        <v>203.81435999999999</v>
      </c>
      <c r="BC80" s="272">
        <v>309.76105999999999</v>
      </c>
      <c r="BD80" s="272">
        <v>0.69304999999999994</v>
      </c>
      <c r="BE80" s="334">
        <v>3271.0435899999998</v>
      </c>
      <c r="BG80" s="331">
        <v>877.26594</v>
      </c>
      <c r="BH80" s="334">
        <v>0</v>
      </c>
      <c r="BI80" s="334">
        <v>0</v>
      </c>
      <c r="BJ80" s="334">
        <v>2393.77765</v>
      </c>
      <c r="BK80" s="331">
        <v>0</v>
      </c>
      <c r="BL80" s="331">
        <v>0</v>
      </c>
      <c r="BM80" s="331">
        <v>0</v>
      </c>
      <c r="BN80" s="334">
        <v>2393.77765</v>
      </c>
      <c r="BP80" s="334">
        <v>2180.7224200000001</v>
      </c>
      <c r="BQ80" s="311">
        <v>3322.4664500000003</v>
      </c>
      <c r="BR80" s="272">
        <v>51.42286</v>
      </c>
      <c r="BS80" s="461">
        <v>-1124.5961000000002</v>
      </c>
      <c r="BT80" s="272">
        <v>21</v>
      </c>
      <c r="BU80" s="272">
        <v>385.88920000000002</v>
      </c>
      <c r="BV80" s="333">
        <v>1514.58959</v>
      </c>
      <c r="BX80" s="272">
        <v>4925</v>
      </c>
      <c r="BY80" s="469">
        <v>29.004819999999999</v>
      </c>
      <c r="BZ80" s="469">
        <v>-1150</v>
      </c>
      <c r="CA80" s="552"/>
      <c r="CB80" s="335">
        <v>8.9</v>
      </c>
      <c r="CC80" s="471">
        <f t="shared" si="1"/>
        <v>8.9</v>
      </c>
      <c r="CD80" s="558"/>
      <c r="CE80" s="272"/>
      <c r="CF80" s="262"/>
      <c r="CI80" s="158">
        <v>0</v>
      </c>
      <c r="CJ80" s="331">
        <v>782.6532219121043</v>
      </c>
      <c r="CK80" s="331">
        <v>418.5907175411474</v>
      </c>
      <c r="CL80" s="331">
        <v>550.5033542165213</v>
      </c>
      <c r="CM80" s="472">
        <v>616.91557663277104</v>
      </c>
      <c r="CN80" s="472">
        <v>618.7859638125658</v>
      </c>
      <c r="CO80" s="480">
        <v>-475.32499999999999</v>
      </c>
      <c r="CP80" s="557"/>
      <c r="CQ80" s="474">
        <v>0</v>
      </c>
      <c r="CR80" s="474">
        <v>0</v>
      </c>
    </row>
    <row r="81" spans="1:96" x14ac:dyDescent="0.2">
      <c r="A81" s="154">
        <v>240</v>
      </c>
      <c r="B81" s="156" t="s">
        <v>22</v>
      </c>
      <c r="C81" s="325">
        <v>19371</v>
      </c>
      <c r="D81" s="270">
        <v>9.11</v>
      </c>
      <c r="E81" s="185"/>
      <c r="G81" s="272">
        <v>15422.82404</v>
      </c>
      <c r="H81" s="272">
        <v>58650.3724</v>
      </c>
      <c r="I81" s="272"/>
      <c r="J81" s="272">
        <v>39918.516819999997</v>
      </c>
      <c r="K81" s="272">
        <v>4968.6270000000004</v>
      </c>
      <c r="L81" s="272">
        <v>8510.7639099999997</v>
      </c>
      <c r="M81" s="272">
        <v>53397.907729999999</v>
      </c>
      <c r="N81" s="272">
        <v>1601.079</v>
      </c>
      <c r="O81" s="272">
        <v>520.48398999999995</v>
      </c>
      <c r="P81" s="272">
        <v>2041.5553300000001</v>
      </c>
      <c r="Q81" s="272">
        <v>2688.83086</v>
      </c>
      <c r="R81" s="272">
        <v>10.603200000000001</v>
      </c>
      <c r="S81" s="272">
        <v>13015.149710000002</v>
      </c>
      <c r="U81" s="272">
        <v>5448.6284000000005</v>
      </c>
      <c r="V81" s="272">
        <v>0</v>
      </c>
      <c r="W81" s="272">
        <v>0</v>
      </c>
      <c r="X81" s="272">
        <v>7566.5213099999992</v>
      </c>
      <c r="Y81" s="272">
        <v>0</v>
      </c>
      <c r="Z81" s="272">
        <v>0</v>
      </c>
      <c r="AA81" s="272">
        <v>0</v>
      </c>
      <c r="AB81" s="272">
        <v>7566.5213099999992</v>
      </c>
      <c r="AD81" s="272">
        <v>-11124.771499999999</v>
      </c>
      <c r="AE81" s="157">
        <v>11007.25057</v>
      </c>
      <c r="AF81" s="184">
        <v>-2007.89914</v>
      </c>
      <c r="AG81" s="272">
        <v>-5380.37961</v>
      </c>
      <c r="AH81" s="272">
        <v>248.25908999999999</v>
      </c>
      <c r="AI81" s="184">
        <v>2969.7462</v>
      </c>
      <c r="AJ81" s="272">
        <v>4863.5581099999999</v>
      </c>
      <c r="AL81" s="272">
        <v>124035.71416</v>
      </c>
      <c r="AM81" s="184">
        <v>-10.923389999999999</v>
      </c>
      <c r="AN81" s="272">
        <v>-5028.5712000000003</v>
      </c>
      <c r="AO81" s="343">
        <v>19402</v>
      </c>
      <c r="AP81" s="332">
        <v>9.6</v>
      </c>
      <c r="AQ81" s="448"/>
      <c r="AS81" s="455">
        <v>12585.163570000001</v>
      </c>
      <c r="AT81" s="272">
        <v>59337.28847</v>
      </c>
      <c r="AU81" s="450"/>
      <c r="AV81" s="334">
        <v>40706.985869999997</v>
      </c>
      <c r="AW81" s="334">
        <v>7271.1667500000003</v>
      </c>
      <c r="AX81" s="334">
        <v>8576.6463000000003</v>
      </c>
      <c r="AY81" s="334">
        <v>56554.798920000001</v>
      </c>
      <c r="AZ81" s="334">
        <v>-2226.0159600000002</v>
      </c>
      <c r="BA81" s="272">
        <v>1663.1324399999999</v>
      </c>
      <c r="BB81" s="333">
        <v>2986.6516099999999</v>
      </c>
      <c r="BC81" s="272">
        <v>2697.2806499999997</v>
      </c>
      <c r="BD81" s="272">
        <v>118.15097999999999</v>
      </c>
      <c r="BE81" s="334">
        <v>8882.4287800000002</v>
      </c>
      <c r="BG81" s="331">
        <v>7611.4427900000001</v>
      </c>
      <c r="BH81" s="334">
        <v>250.39029000000002</v>
      </c>
      <c r="BI81" s="331">
        <v>200</v>
      </c>
      <c r="BJ81" s="334">
        <v>1321.37628</v>
      </c>
      <c r="BK81" s="331">
        <v>0</v>
      </c>
      <c r="BL81" s="331">
        <v>0</v>
      </c>
      <c r="BM81" s="334">
        <v>0</v>
      </c>
      <c r="BN81" s="334">
        <v>1321.37628</v>
      </c>
      <c r="BP81" s="334">
        <v>-10182.737110000002</v>
      </c>
      <c r="BQ81" s="311">
        <v>8735.5442899999998</v>
      </c>
      <c r="BR81" s="272">
        <v>-197.27477999999999</v>
      </c>
      <c r="BS81" s="461">
        <v>-8900.5723500000004</v>
      </c>
      <c r="BT81" s="272">
        <v>319.72500000000002</v>
      </c>
      <c r="BU81" s="272">
        <v>722.678</v>
      </c>
      <c r="BV81" s="333">
        <v>2804.1348399999997</v>
      </c>
      <c r="BX81" s="272">
        <v>117590.33816</v>
      </c>
      <c r="BY81" s="469">
        <v>60.548360000000002</v>
      </c>
      <c r="BZ81" s="469">
        <v>-6445.3760000000002</v>
      </c>
      <c r="CA81" s="552"/>
      <c r="CB81" s="335">
        <v>9.6</v>
      </c>
      <c r="CC81" s="471">
        <f t="shared" si="1"/>
        <v>9.6</v>
      </c>
      <c r="CD81" s="558"/>
      <c r="CE81" s="272"/>
      <c r="CF81" s="262"/>
      <c r="CI81" s="158">
        <v>0</v>
      </c>
      <c r="CJ81" s="331">
        <v>253.19064772255183</v>
      </c>
      <c r="CK81" s="331">
        <v>-1791.1232315104467</v>
      </c>
      <c r="CL81" s="331">
        <v>967.60876470152402</v>
      </c>
      <c r="CM81" s="472">
        <v>1303.7421998397585</v>
      </c>
      <c r="CN81" s="472">
        <v>1547.9725461653275</v>
      </c>
      <c r="CO81" s="480">
        <v>1636.0340000000001</v>
      </c>
      <c r="CP81" s="557"/>
      <c r="CQ81" s="474">
        <v>86.555019999999999</v>
      </c>
      <c r="CR81" s="474">
        <v>50.160220000000002</v>
      </c>
    </row>
    <row r="82" spans="1:96" x14ac:dyDescent="0.2">
      <c r="A82" s="154">
        <v>320</v>
      </c>
      <c r="B82" s="156" t="s">
        <v>115</v>
      </c>
      <c r="C82" s="325">
        <v>7030</v>
      </c>
      <c r="D82" s="270">
        <v>8.86</v>
      </c>
      <c r="E82" s="185"/>
      <c r="G82" s="272">
        <v>6971.0899100000006</v>
      </c>
      <c r="H82" s="272">
        <v>27196.739170000001</v>
      </c>
      <c r="I82" s="272"/>
      <c r="J82" s="272">
        <v>12500.940430000001</v>
      </c>
      <c r="K82" s="272">
        <v>1393.0380700000001</v>
      </c>
      <c r="L82" s="272">
        <v>5084.3723499999996</v>
      </c>
      <c r="M82" s="272">
        <v>18978.350850000003</v>
      </c>
      <c r="N82" s="272">
        <v>7652.15</v>
      </c>
      <c r="O82" s="272">
        <v>490.80101000000002</v>
      </c>
      <c r="P82" s="272">
        <v>450.73426000000001</v>
      </c>
      <c r="Q82" s="272">
        <v>2526.9398700000002</v>
      </c>
      <c r="R82" s="272">
        <v>482.19615999999996</v>
      </c>
      <c r="S82" s="272">
        <v>8489.6620500000008</v>
      </c>
      <c r="U82" s="272">
        <v>2687.6141499999999</v>
      </c>
      <c r="V82" s="272">
        <v>0</v>
      </c>
      <c r="W82" s="272">
        <v>0</v>
      </c>
      <c r="X82" s="272">
        <v>5802.0479000000005</v>
      </c>
      <c r="Y82" s="272">
        <v>0</v>
      </c>
      <c r="Z82" s="272">
        <v>0</v>
      </c>
      <c r="AA82" s="272">
        <v>0</v>
      </c>
      <c r="AB82" s="272">
        <v>5802.0479000000005</v>
      </c>
      <c r="AD82" s="272">
        <v>16310.452020000001</v>
      </c>
      <c r="AE82" s="157">
        <v>8359.5547000000006</v>
      </c>
      <c r="AF82" s="184">
        <v>-128.9196</v>
      </c>
      <c r="AG82" s="272">
        <v>-5697.2720899999995</v>
      </c>
      <c r="AH82" s="272">
        <v>0</v>
      </c>
      <c r="AI82" s="184">
        <v>248.87772000000001</v>
      </c>
      <c r="AJ82" s="272">
        <v>1711.46551</v>
      </c>
      <c r="AL82" s="272">
        <v>27491.421999999999</v>
      </c>
      <c r="AM82" s="184">
        <v>-2922.7687700000001</v>
      </c>
      <c r="AN82" s="272">
        <v>-4863.8950000000004</v>
      </c>
      <c r="AO82" s="343">
        <v>6954</v>
      </c>
      <c r="AP82" s="332">
        <v>8.9</v>
      </c>
      <c r="AQ82" s="448"/>
      <c r="AS82" s="455">
        <v>7041.7210800000003</v>
      </c>
      <c r="AT82" s="272">
        <v>28832.68129</v>
      </c>
      <c r="AU82" s="450"/>
      <c r="AV82" s="334">
        <v>12386.03463</v>
      </c>
      <c r="AW82" s="334">
        <v>1757.3420800000001</v>
      </c>
      <c r="AX82" s="334">
        <v>5120.6053300000003</v>
      </c>
      <c r="AY82" s="334">
        <v>19263.982039999999</v>
      </c>
      <c r="AZ82" s="334">
        <v>6501</v>
      </c>
      <c r="BA82" s="272">
        <v>494.03014000000002</v>
      </c>
      <c r="BB82" s="333">
        <v>537.00893999999994</v>
      </c>
      <c r="BC82" s="272">
        <v>2091.4895799999999</v>
      </c>
      <c r="BD82" s="272">
        <v>480.3492</v>
      </c>
      <c r="BE82" s="334">
        <v>5542.1834100000005</v>
      </c>
      <c r="BG82" s="331">
        <v>3997.5045599999999</v>
      </c>
      <c r="BH82" s="334">
        <v>0</v>
      </c>
      <c r="BI82" s="334">
        <v>0</v>
      </c>
      <c r="BJ82" s="334">
        <v>1544.67885</v>
      </c>
      <c r="BK82" s="331">
        <v>0</v>
      </c>
      <c r="BL82" s="331">
        <v>0</v>
      </c>
      <c r="BM82" s="334">
        <v>0</v>
      </c>
      <c r="BN82" s="334">
        <v>1544.67885</v>
      </c>
      <c r="BP82" s="334">
        <v>17705.552370000001</v>
      </c>
      <c r="BQ82" s="311" t="e">
        <v>#VALUE!</v>
      </c>
      <c r="BR82" s="272" t="e">
        <v>#VALUE!</v>
      </c>
      <c r="BS82" s="461">
        <v>-3831.3673900000003</v>
      </c>
      <c r="BT82" s="272">
        <v>63</v>
      </c>
      <c r="BU82" s="272">
        <v>34.219000000000001</v>
      </c>
      <c r="BV82" s="333">
        <v>5362.7217000000001</v>
      </c>
      <c r="BX82" s="272">
        <v>28049.956999999999</v>
      </c>
      <c r="BY82" s="469" t="e">
        <v>#VALUE!</v>
      </c>
      <c r="BZ82" s="469" t="e">
        <v>#VALUE!</v>
      </c>
      <c r="CA82" s="552"/>
      <c r="CB82" s="335">
        <v>8.9</v>
      </c>
      <c r="CC82" s="471">
        <f t="shared" si="1"/>
        <v>8.9</v>
      </c>
      <c r="CD82" s="558"/>
      <c r="CE82" s="272"/>
      <c r="CF82" s="262"/>
      <c r="CI82" s="158">
        <v>0</v>
      </c>
      <c r="CJ82" s="331">
        <v>7593.9316583461577</v>
      </c>
      <c r="CK82" s="331">
        <v>6795.162068056753</v>
      </c>
      <c r="CL82" s="331">
        <v>7498.0398458036352</v>
      </c>
      <c r="CM82" s="472">
        <v>8157.0616842580384</v>
      </c>
      <c r="CN82" s="472">
        <v>8533.6738800766743</v>
      </c>
      <c r="CO82" s="480">
        <v>173.55199999999999</v>
      </c>
      <c r="CP82" s="557"/>
      <c r="CQ82" s="474">
        <v>0</v>
      </c>
      <c r="CR82" s="474">
        <v>0</v>
      </c>
    </row>
    <row r="83" spans="1:96" x14ac:dyDescent="0.2">
      <c r="A83" s="154">
        <v>241</v>
      </c>
      <c r="B83" s="156" t="s">
        <v>116</v>
      </c>
      <c r="C83" s="325">
        <v>7691</v>
      </c>
      <c r="D83" s="270">
        <v>8.61</v>
      </c>
      <c r="E83" s="185"/>
      <c r="G83" s="272">
        <v>3305.4607099999998</v>
      </c>
      <c r="H83" s="272">
        <v>23080.91171</v>
      </c>
      <c r="I83" s="272"/>
      <c r="J83" s="272">
        <v>16395.94227</v>
      </c>
      <c r="K83" s="272">
        <v>1409.9779099999998</v>
      </c>
      <c r="L83" s="272">
        <v>4246.0450000000001</v>
      </c>
      <c r="M83" s="272">
        <v>22051.965179999999</v>
      </c>
      <c r="N83" s="272">
        <v>3011.4430000000002</v>
      </c>
      <c r="O83" s="272">
        <v>331.81839000000002</v>
      </c>
      <c r="P83" s="272">
        <v>259.15597000000002</v>
      </c>
      <c r="Q83" s="272">
        <v>67.727969999999999</v>
      </c>
      <c r="R83" s="272">
        <v>1.5821099999999999</v>
      </c>
      <c r="S83" s="272">
        <v>5426.7654599999996</v>
      </c>
      <c r="U83" s="272">
        <v>1926.3516200000001</v>
      </c>
      <c r="V83" s="272">
        <v>235.11467000000002</v>
      </c>
      <c r="W83" s="272">
        <v>0.20523</v>
      </c>
      <c r="X83" s="272">
        <v>3735.3232799999996</v>
      </c>
      <c r="Y83" s="272">
        <v>0</v>
      </c>
      <c r="Z83" s="272">
        <v>0</v>
      </c>
      <c r="AA83" s="272">
        <v>0</v>
      </c>
      <c r="AB83" s="272">
        <v>3735.3232799999996</v>
      </c>
      <c r="AD83" s="272">
        <v>9466.6440299999995</v>
      </c>
      <c r="AE83" s="157">
        <v>5380.4687400000003</v>
      </c>
      <c r="AF83" s="184">
        <v>-281.20615999999995</v>
      </c>
      <c r="AG83" s="272">
        <v>-4442.2198899999994</v>
      </c>
      <c r="AH83" s="272">
        <v>1024.25782</v>
      </c>
      <c r="AI83" s="184">
        <v>120.16544</v>
      </c>
      <c r="AJ83" s="272">
        <v>4507.5902500000002</v>
      </c>
      <c r="AL83" s="272">
        <v>15897.509000000002</v>
      </c>
      <c r="AM83" s="184">
        <v>-242.33443</v>
      </c>
      <c r="AN83" s="272">
        <v>377.38567</v>
      </c>
      <c r="AO83" s="343">
        <v>7604</v>
      </c>
      <c r="AP83" s="332">
        <v>8.6</v>
      </c>
      <c r="AQ83" s="448"/>
      <c r="AS83" s="455">
        <v>3185.1201700000001</v>
      </c>
      <c r="AT83" s="272">
        <v>23162.849249999999</v>
      </c>
      <c r="AU83" s="450"/>
      <c r="AV83" s="334">
        <v>15751.112210000001</v>
      </c>
      <c r="AW83" s="334">
        <v>1436.85744</v>
      </c>
      <c r="AX83" s="334">
        <v>4194.1842699999997</v>
      </c>
      <c r="AY83" s="334">
        <v>21382.153920000001</v>
      </c>
      <c r="AZ83" s="334">
        <v>1684.3910000000001</v>
      </c>
      <c r="BA83" s="272">
        <v>401.19140999999996</v>
      </c>
      <c r="BB83" s="333">
        <v>279.01413000000002</v>
      </c>
      <c r="BC83" s="272">
        <v>71.896990000000002</v>
      </c>
      <c r="BD83" s="272">
        <v>0.56277999999999995</v>
      </c>
      <c r="BE83" s="334">
        <v>3282.3273300000001</v>
      </c>
      <c r="BG83" s="331">
        <v>2085.17524</v>
      </c>
      <c r="BH83" s="334">
        <v>23.546749999999999</v>
      </c>
      <c r="BI83" s="331">
        <v>0</v>
      </c>
      <c r="BJ83" s="334">
        <v>1220.69884</v>
      </c>
      <c r="BK83" s="331">
        <v>0</v>
      </c>
      <c r="BL83" s="331">
        <v>0</v>
      </c>
      <c r="BM83" s="331">
        <v>0</v>
      </c>
      <c r="BN83" s="334">
        <v>1220.69884</v>
      </c>
      <c r="BP83" s="334">
        <v>10687.342869999999</v>
      </c>
      <c r="BQ83" s="311">
        <v>3282.3273300000001</v>
      </c>
      <c r="BR83" s="272">
        <v>-23.546749999999999</v>
      </c>
      <c r="BS83" s="461">
        <v>-2571.2737000000002</v>
      </c>
      <c r="BT83" s="272">
        <v>281.61500000000001</v>
      </c>
      <c r="BU83" s="272">
        <v>39.108199999999997</v>
      </c>
      <c r="BV83" s="333">
        <v>3907.9732799999997</v>
      </c>
      <c r="BX83" s="272">
        <v>15087.239</v>
      </c>
      <c r="BY83" s="469">
        <v>-672.5625</v>
      </c>
      <c r="BZ83" s="469">
        <v>-810.27</v>
      </c>
      <c r="CA83" s="552"/>
      <c r="CB83" s="335">
        <v>8.6</v>
      </c>
      <c r="CC83" s="471">
        <f t="shared" si="1"/>
        <v>8.6</v>
      </c>
      <c r="CD83" s="558"/>
      <c r="CE83" s="272"/>
      <c r="CF83" s="262"/>
      <c r="CI83" s="158">
        <v>0</v>
      </c>
      <c r="CJ83" s="331">
        <v>1961.3842199055612</v>
      </c>
      <c r="CK83" s="331">
        <v>1618.0681466585388</v>
      </c>
      <c r="CL83" s="331">
        <v>2156.2194554953799</v>
      </c>
      <c r="CM83" s="472">
        <v>2740.9906263242988</v>
      </c>
      <c r="CN83" s="472">
        <v>2611.7177997893955</v>
      </c>
      <c r="CO83" s="480">
        <v>-368.22500000000002</v>
      </c>
      <c r="CP83" s="557"/>
      <c r="CQ83" s="474">
        <v>0</v>
      </c>
      <c r="CR83" s="474">
        <v>0</v>
      </c>
    </row>
    <row r="84" spans="1:96" x14ac:dyDescent="0.2">
      <c r="A84" s="154">
        <v>322</v>
      </c>
      <c r="B84" s="156" t="s">
        <v>349</v>
      </c>
      <c r="C84" s="325">
        <v>6462</v>
      </c>
      <c r="D84" s="270">
        <v>7.1100000000000012</v>
      </c>
      <c r="E84" s="185"/>
      <c r="G84" s="272">
        <v>5437.5989600000003</v>
      </c>
      <c r="H84" s="272">
        <v>23045.889230000001</v>
      </c>
      <c r="I84" s="272"/>
      <c r="J84" s="272">
        <v>9347.111789999999</v>
      </c>
      <c r="K84" s="272">
        <v>1113.5153300000002</v>
      </c>
      <c r="L84" s="272">
        <v>3691.90798</v>
      </c>
      <c r="M84" s="272">
        <v>14152.535099999999</v>
      </c>
      <c r="N84" s="272">
        <v>9892.4240000000009</v>
      </c>
      <c r="O84" s="272">
        <v>88.286280000000005</v>
      </c>
      <c r="P84" s="272">
        <v>275.70825000000002</v>
      </c>
      <c r="Q84" s="272">
        <v>47.678550000000001</v>
      </c>
      <c r="R84" s="272">
        <v>6.5427200000000001</v>
      </c>
      <c r="S84" s="272">
        <v>6290.3826900000004</v>
      </c>
      <c r="U84" s="272">
        <v>3248.7764500000003</v>
      </c>
      <c r="V84" s="272">
        <v>0</v>
      </c>
      <c r="W84" s="272">
        <v>0</v>
      </c>
      <c r="X84" s="272">
        <v>3041.6062400000001</v>
      </c>
      <c r="Y84" s="272">
        <v>-139.47001999999998</v>
      </c>
      <c r="Z84" s="272">
        <v>0</v>
      </c>
      <c r="AA84" s="272">
        <v>0</v>
      </c>
      <c r="AB84" s="272">
        <v>3181.0762599999998</v>
      </c>
      <c r="AD84" s="272">
        <v>21941.834930000005</v>
      </c>
      <c r="AE84" s="157">
        <v>6277.2613899999997</v>
      </c>
      <c r="AF84" s="184">
        <v>-13.1213</v>
      </c>
      <c r="AG84" s="272">
        <v>-3372.72793</v>
      </c>
      <c r="AH84" s="272">
        <v>202.97220999999999</v>
      </c>
      <c r="AI84" s="184">
        <v>64.138000000000005</v>
      </c>
      <c r="AJ84" s="272">
        <v>8217.0472699999991</v>
      </c>
      <c r="AL84" s="272">
        <v>9509.348</v>
      </c>
      <c r="AM84" s="184">
        <v>0</v>
      </c>
      <c r="AN84" s="272">
        <v>-3274.2059599999998</v>
      </c>
      <c r="AO84" s="343">
        <v>6371</v>
      </c>
      <c r="AP84" s="332">
        <v>7.1</v>
      </c>
      <c r="AQ84" s="448"/>
      <c r="AS84" s="455">
        <v>5531.6213200000002</v>
      </c>
      <c r="AT84" s="272">
        <v>24206.503390000002</v>
      </c>
      <c r="AU84" s="450"/>
      <c r="AV84" s="334">
        <v>9184.6443900000013</v>
      </c>
      <c r="AW84" s="334">
        <v>937.78998999999999</v>
      </c>
      <c r="AX84" s="334">
        <v>3970.8203599999997</v>
      </c>
      <c r="AY84" s="334">
        <v>14093.25474</v>
      </c>
      <c r="AZ84" s="334">
        <v>9334.6450000000004</v>
      </c>
      <c r="BA84" s="272">
        <v>175.04192</v>
      </c>
      <c r="BB84" s="333">
        <v>294.99238000000003</v>
      </c>
      <c r="BC84" s="272">
        <v>40.789919999999995</v>
      </c>
      <c r="BD84" s="272">
        <v>5.5464899999999995</v>
      </c>
      <c r="BE84" s="334">
        <v>4668.3106399999997</v>
      </c>
      <c r="BG84" s="331">
        <v>3365.87329</v>
      </c>
      <c r="BH84" s="331">
        <v>0</v>
      </c>
      <c r="BI84" s="331">
        <v>0</v>
      </c>
      <c r="BJ84" s="334">
        <v>1302.4373500000002</v>
      </c>
      <c r="BK84" s="334">
        <v>-135.76499999999999</v>
      </c>
      <c r="BL84" s="331">
        <v>0</v>
      </c>
      <c r="BM84" s="331">
        <v>0</v>
      </c>
      <c r="BN84" s="334">
        <v>1438.20235</v>
      </c>
      <c r="BP84" s="334">
        <v>23380.03728</v>
      </c>
      <c r="BQ84" s="311">
        <v>4580.8485499999997</v>
      </c>
      <c r="BR84" s="272">
        <v>-87.462090000000003</v>
      </c>
      <c r="BS84" s="461">
        <v>-3486.4637299999999</v>
      </c>
      <c r="BT84" s="272">
        <v>3.8458600000000001</v>
      </c>
      <c r="BU84" s="272">
        <v>402.41174999999998</v>
      </c>
      <c r="BV84" s="333">
        <v>8560.1566400000011</v>
      </c>
      <c r="BX84" s="272">
        <v>8168.4359999999997</v>
      </c>
      <c r="BY84" s="469">
        <v>0</v>
      </c>
      <c r="BZ84" s="469">
        <v>-1340.912</v>
      </c>
      <c r="CA84" s="553"/>
      <c r="CB84" s="335">
        <v>7.1</v>
      </c>
      <c r="CC84" s="471">
        <f t="shared" si="1"/>
        <v>7.1</v>
      </c>
      <c r="CD84" s="558"/>
      <c r="CE84" s="272"/>
      <c r="CF84" s="262"/>
      <c r="CI84" s="158">
        <v>0</v>
      </c>
      <c r="CJ84" s="331">
        <v>9603.2829083800971</v>
      </c>
      <c r="CK84" s="331">
        <v>9385.3470787286769</v>
      </c>
      <c r="CL84" s="331">
        <v>9452.7873155773268</v>
      </c>
      <c r="CM84" s="472">
        <v>10072.313334225695</v>
      </c>
      <c r="CN84" s="472">
        <v>10168.55567568892</v>
      </c>
      <c r="CO84" s="480">
        <v>-407.036</v>
      </c>
      <c r="CP84" s="557"/>
      <c r="CQ84" s="474">
        <v>0</v>
      </c>
      <c r="CR84" s="474">
        <v>0</v>
      </c>
    </row>
    <row r="85" spans="1:96" x14ac:dyDescent="0.2">
      <c r="A85" s="154">
        <v>244</v>
      </c>
      <c r="B85" s="156" t="s">
        <v>117</v>
      </c>
      <c r="C85" s="325">
        <v>19514</v>
      </c>
      <c r="D85" s="270">
        <v>7.86</v>
      </c>
      <c r="E85" s="185"/>
      <c r="G85" s="272">
        <v>12423.09274</v>
      </c>
      <c r="H85" s="272">
        <v>71597.81177</v>
      </c>
      <c r="I85" s="272"/>
      <c r="J85" s="272">
        <v>37152.381939999999</v>
      </c>
      <c r="K85" s="272">
        <v>4361.0378099999998</v>
      </c>
      <c r="L85" s="272">
        <v>5161.83187</v>
      </c>
      <c r="M85" s="272">
        <v>46675.251619999995</v>
      </c>
      <c r="N85" s="272">
        <v>21510.591</v>
      </c>
      <c r="O85" s="272">
        <v>0</v>
      </c>
      <c r="P85" s="272">
        <v>701.00401999999997</v>
      </c>
      <c r="Q85" s="272">
        <v>93.481279999999998</v>
      </c>
      <c r="R85" s="272">
        <v>0.53148000000000006</v>
      </c>
      <c r="S85" s="272">
        <v>8539.4907300000013</v>
      </c>
      <c r="U85" s="272">
        <v>6647.3196399999997</v>
      </c>
      <c r="V85" s="272">
        <v>0</v>
      </c>
      <c r="W85" s="272">
        <v>0</v>
      </c>
      <c r="X85" s="272">
        <v>1892.17109</v>
      </c>
      <c r="Y85" s="272">
        <v>-673.29863999999998</v>
      </c>
      <c r="Z85" s="272">
        <v>0</v>
      </c>
      <c r="AA85" s="272">
        <v>0</v>
      </c>
      <c r="AB85" s="272">
        <v>2565.4697299999998</v>
      </c>
      <c r="AD85" s="272">
        <v>18772.716919999999</v>
      </c>
      <c r="AE85" s="157">
        <v>5368.4803200000006</v>
      </c>
      <c r="AF85" s="184">
        <v>-3171.0104100000003</v>
      </c>
      <c r="AG85" s="272">
        <v>-19917.109280000001</v>
      </c>
      <c r="AH85" s="272">
        <v>96</v>
      </c>
      <c r="AI85" s="184">
        <v>3516.2207599999997</v>
      </c>
      <c r="AJ85" s="272">
        <v>4810.9142899999997</v>
      </c>
      <c r="AL85" s="272">
        <v>75106.679000000004</v>
      </c>
      <c r="AM85" s="184">
        <v>0</v>
      </c>
      <c r="AN85" s="272">
        <v>8495.7240000000002</v>
      </c>
      <c r="AO85" s="343">
        <v>19657</v>
      </c>
      <c r="AP85" s="332">
        <v>7.9</v>
      </c>
      <c r="AQ85" s="448"/>
      <c r="AS85" s="455">
        <v>11427.726710000001</v>
      </c>
      <c r="AT85" s="272">
        <v>73236.071670000005</v>
      </c>
      <c r="AU85" s="450"/>
      <c r="AV85" s="334">
        <v>36453.46804</v>
      </c>
      <c r="AW85" s="334">
        <v>3620.5906199999999</v>
      </c>
      <c r="AX85" s="334">
        <v>5192.5311799999999</v>
      </c>
      <c r="AY85" s="334">
        <v>45266.589840000001</v>
      </c>
      <c r="AZ85" s="334">
        <v>22355.781999999999</v>
      </c>
      <c r="BA85" s="272">
        <v>0</v>
      </c>
      <c r="BB85" s="333">
        <v>1483.37167</v>
      </c>
      <c r="BC85" s="272">
        <v>81.356169999999992</v>
      </c>
      <c r="BD85" s="272">
        <v>-34.986879999999999</v>
      </c>
      <c r="BE85" s="334">
        <v>4565.3857699999999</v>
      </c>
      <c r="BG85" s="331">
        <v>6716.0989300000001</v>
      </c>
      <c r="BH85" s="331">
        <v>0</v>
      </c>
      <c r="BI85" s="331">
        <v>0</v>
      </c>
      <c r="BJ85" s="334">
        <v>-2150.7131600000002</v>
      </c>
      <c r="BK85" s="334">
        <v>-673.29863999999998</v>
      </c>
      <c r="BL85" s="331">
        <v>0</v>
      </c>
      <c r="BM85" s="331">
        <v>0</v>
      </c>
      <c r="BN85" s="334">
        <v>-1477.41452</v>
      </c>
      <c r="BP85" s="334">
        <v>17295.3024</v>
      </c>
      <c r="BQ85" s="311">
        <v>2403.03962</v>
      </c>
      <c r="BR85" s="272">
        <v>-2162.3461499999999</v>
      </c>
      <c r="BS85" s="461">
        <v>-18367.402819999999</v>
      </c>
      <c r="BT85" s="272">
        <v>140.39462</v>
      </c>
      <c r="BU85" s="272">
        <v>2306.91905</v>
      </c>
      <c r="BV85" s="333">
        <v>3306.50839</v>
      </c>
      <c r="BX85" s="272">
        <v>90613.429000000004</v>
      </c>
      <c r="BY85" s="469">
        <v>0</v>
      </c>
      <c r="BZ85" s="469">
        <v>15506.75</v>
      </c>
      <c r="CA85" s="552"/>
      <c r="CB85" s="335">
        <v>8.9</v>
      </c>
      <c r="CC85" s="471">
        <f t="shared" si="1"/>
        <v>8.9</v>
      </c>
      <c r="CD85" s="558"/>
      <c r="CE85" s="272"/>
      <c r="CF85" s="262"/>
      <c r="CI85" s="158">
        <v>0</v>
      </c>
      <c r="CJ85" s="331">
        <v>23888.584466593624</v>
      </c>
      <c r="CK85" s="331">
        <v>23978.191086439561</v>
      </c>
      <c r="CL85" s="331">
        <v>21640.367131422772</v>
      </c>
      <c r="CM85" s="472">
        <v>22611.034047679826</v>
      </c>
      <c r="CN85" s="472">
        <v>23194.500770753737</v>
      </c>
      <c r="CO85" s="480">
        <v>337.03</v>
      </c>
      <c r="CP85" s="557"/>
      <c r="CQ85" s="474">
        <v>136.42135999999999</v>
      </c>
      <c r="CR85" s="474">
        <v>118.38750999999999</v>
      </c>
    </row>
    <row r="86" spans="1:96" x14ac:dyDescent="0.2">
      <c r="A86" s="154">
        <v>245</v>
      </c>
      <c r="B86" s="156" t="s">
        <v>118</v>
      </c>
      <c r="C86" s="325">
        <v>38211</v>
      </c>
      <c r="D86" s="270">
        <v>6.61</v>
      </c>
      <c r="E86" s="185"/>
      <c r="G86" s="272">
        <v>32391.936280000002</v>
      </c>
      <c r="H86" s="272">
        <v>115367.62426000001</v>
      </c>
      <c r="I86" s="272"/>
      <c r="J86" s="272">
        <v>68898.441849999988</v>
      </c>
      <c r="K86" s="272">
        <v>8342.4113099999995</v>
      </c>
      <c r="L86" s="272">
        <v>14520.21983</v>
      </c>
      <c r="M86" s="272">
        <v>91761.072990000001</v>
      </c>
      <c r="N86" s="272">
        <v>17801.007000000001</v>
      </c>
      <c r="O86" s="272">
        <v>143.50047000000001</v>
      </c>
      <c r="P86" s="272">
        <v>1153.7298999999998</v>
      </c>
      <c r="Q86" s="272">
        <v>1512.2914800000001</v>
      </c>
      <c r="R86" s="272">
        <v>5.1190699999999998</v>
      </c>
      <c r="S86" s="272">
        <v>27136.934659999999</v>
      </c>
      <c r="U86" s="272">
        <v>19800.753479999999</v>
      </c>
      <c r="V86" s="272">
        <v>0</v>
      </c>
      <c r="W86" s="272">
        <v>0</v>
      </c>
      <c r="X86" s="272">
        <v>7336.1811799999996</v>
      </c>
      <c r="Y86" s="272">
        <v>0</v>
      </c>
      <c r="Z86" s="272">
        <v>6000</v>
      </c>
      <c r="AA86" s="272">
        <v>0</v>
      </c>
      <c r="AB86" s="272">
        <v>1336.18118</v>
      </c>
      <c r="AD86" s="272">
        <v>87574.228279999996</v>
      </c>
      <c r="AE86" s="157">
        <v>25335.164059999999</v>
      </c>
      <c r="AF86" s="184">
        <v>-1801.7706000000001</v>
      </c>
      <c r="AG86" s="272">
        <v>-18025.842969999998</v>
      </c>
      <c r="AH86" s="272">
        <v>268.85899999999998</v>
      </c>
      <c r="AI86" s="184">
        <v>2223.4737300000002</v>
      </c>
      <c r="AJ86" s="272">
        <v>3042.4465399999999</v>
      </c>
      <c r="AL86" s="272">
        <v>88875</v>
      </c>
      <c r="AM86" s="184">
        <v>23.07432</v>
      </c>
      <c r="AN86" s="272">
        <v>-3273.846</v>
      </c>
      <c r="AO86" s="343">
        <v>38461</v>
      </c>
      <c r="AP86" s="332">
        <v>6.9</v>
      </c>
      <c r="AQ86" s="448"/>
      <c r="AS86" s="455">
        <v>32859.56583</v>
      </c>
      <c r="AT86" s="272">
        <v>115248.25481999999</v>
      </c>
      <c r="AU86" s="450"/>
      <c r="AV86" s="334">
        <v>66995.965670000005</v>
      </c>
      <c r="AW86" s="334">
        <v>6026.7132300000003</v>
      </c>
      <c r="AX86" s="334">
        <v>15085.23718</v>
      </c>
      <c r="AY86" s="334">
        <v>88107.916079999995</v>
      </c>
      <c r="AZ86" s="334">
        <v>12879.620999999999</v>
      </c>
      <c r="BA86" s="272">
        <v>148.72332</v>
      </c>
      <c r="BB86" s="333">
        <v>1609.44264</v>
      </c>
      <c r="BC86" s="272">
        <v>1803.8740500000001</v>
      </c>
      <c r="BD86" s="272">
        <v>5.1957899999999997</v>
      </c>
      <c r="BE86" s="334">
        <v>18990.716609999999</v>
      </c>
      <c r="BG86" s="331">
        <v>18483.77764</v>
      </c>
      <c r="BH86" s="331">
        <v>0</v>
      </c>
      <c r="BI86" s="331">
        <v>0</v>
      </c>
      <c r="BJ86" s="334">
        <v>506.93896999999998</v>
      </c>
      <c r="BK86" s="331">
        <v>0</v>
      </c>
      <c r="BL86" s="331">
        <v>0</v>
      </c>
      <c r="BM86" s="334">
        <v>6.93</v>
      </c>
      <c r="BN86" s="334">
        <v>500.00896999999998</v>
      </c>
      <c r="BP86" s="334">
        <v>88074.237250000006</v>
      </c>
      <c r="BQ86" s="311">
        <v>17972.04768</v>
      </c>
      <c r="BR86" s="272">
        <v>-1018.66893</v>
      </c>
      <c r="BS86" s="461">
        <v>-26719.98632</v>
      </c>
      <c r="BT86" s="272">
        <v>750</v>
      </c>
      <c r="BU86" s="272">
        <v>1076.98035</v>
      </c>
      <c r="BV86" s="333">
        <v>4545.3408900000004</v>
      </c>
      <c r="BX86" s="272">
        <v>96875</v>
      </c>
      <c r="BY86" s="469">
        <v>14.53144</v>
      </c>
      <c r="BZ86" s="469">
        <v>8000</v>
      </c>
      <c r="CA86" s="552"/>
      <c r="CB86" s="335">
        <v>7.0000000000000009</v>
      </c>
      <c r="CC86" s="471">
        <f t="shared" si="1"/>
        <v>7.0000000000000009</v>
      </c>
      <c r="CD86" s="558"/>
      <c r="CE86" s="272"/>
      <c r="CF86" s="262"/>
      <c r="CI86" s="158">
        <v>0</v>
      </c>
      <c r="CJ86" s="331">
        <v>19363.518801613631</v>
      </c>
      <c r="CK86" s="331">
        <v>22413.002444023721</v>
      </c>
      <c r="CL86" s="331">
        <v>21391.513993770084</v>
      </c>
      <c r="CM86" s="472">
        <v>24915.093847220094</v>
      </c>
      <c r="CN86" s="472">
        <v>25907.829665422552</v>
      </c>
      <c r="CO86" s="480">
        <v>-3219.3240000000001</v>
      </c>
      <c r="CP86" s="557"/>
      <c r="CQ86" s="474">
        <v>53.599669999999996</v>
      </c>
      <c r="CR86" s="474">
        <v>53.909579999999998</v>
      </c>
    </row>
    <row r="87" spans="1:96" x14ac:dyDescent="0.2">
      <c r="A87" s="154">
        <v>249</v>
      </c>
      <c r="B87" s="156" t="s">
        <v>119</v>
      </c>
      <c r="C87" s="325">
        <v>9184</v>
      </c>
      <c r="D87" s="270">
        <v>9.11</v>
      </c>
      <c r="E87" s="185"/>
      <c r="G87" s="272">
        <v>19730.843780000003</v>
      </c>
      <c r="H87" s="272">
        <v>40901.63336</v>
      </c>
      <c r="I87" s="272"/>
      <c r="J87" s="272">
        <v>15873.633159999999</v>
      </c>
      <c r="K87" s="272">
        <v>2898.9212799999996</v>
      </c>
      <c r="L87" s="272">
        <v>3035.2770399999999</v>
      </c>
      <c r="M87" s="272">
        <v>21807.831480000001</v>
      </c>
      <c r="N87" s="272">
        <v>6716.732</v>
      </c>
      <c r="O87" s="272">
        <v>106.07548</v>
      </c>
      <c r="P87" s="272">
        <v>1865.2401100000002</v>
      </c>
      <c r="Q87" s="272">
        <v>223.38001</v>
      </c>
      <c r="R87" s="272">
        <v>18.282550000000001</v>
      </c>
      <c r="S87" s="272">
        <v>5856.5846300000003</v>
      </c>
      <c r="U87" s="272">
        <v>5422.5336600000001</v>
      </c>
      <c r="V87" s="272">
        <v>0</v>
      </c>
      <c r="W87" s="272">
        <v>0</v>
      </c>
      <c r="X87" s="272">
        <v>434.05096999999995</v>
      </c>
      <c r="Y87" s="272">
        <v>0</v>
      </c>
      <c r="Z87" s="272">
        <v>0</v>
      </c>
      <c r="AA87" s="272">
        <v>0</v>
      </c>
      <c r="AB87" s="272">
        <v>434.05096999999995</v>
      </c>
      <c r="AD87" s="272">
        <v>4105.5015800000001</v>
      </c>
      <c r="AE87" s="157">
        <v>3930.681</v>
      </c>
      <c r="AF87" s="184">
        <v>-1925.903</v>
      </c>
      <c r="AG87" s="272">
        <v>-2147.3009999999999</v>
      </c>
      <c r="AH87" s="272">
        <v>143.11000000000001</v>
      </c>
      <c r="AI87" s="184">
        <v>328.36599999999999</v>
      </c>
      <c r="AJ87" s="272">
        <v>3330.748</v>
      </c>
      <c r="AL87" s="272">
        <v>57106.131000000001</v>
      </c>
      <c r="AM87" s="184">
        <v>0</v>
      </c>
      <c r="AN87" s="272">
        <v>604.49400000000003</v>
      </c>
      <c r="AO87" s="343">
        <v>9128</v>
      </c>
      <c r="AP87" s="332">
        <v>9.1</v>
      </c>
      <c r="AQ87" s="448"/>
      <c r="AS87" s="455">
        <v>17612.639059999998</v>
      </c>
      <c r="AT87" s="272">
        <v>39200.049899999998</v>
      </c>
      <c r="AU87" s="450"/>
      <c r="AV87" s="334">
        <v>16176.63796</v>
      </c>
      <c r="AW87" s="334">
        <v>2557.4976900000001</v>
      </c>
      <c r="AX87" s="334">
        <v>3025.0901200000003</v>
      </c>
      <c r="AY87" s="334">
        <v>21759.225770000001</v>
      </c>
      <c r="AZ87" s="334">
        <v>6892.9210000000003</v>
      </c>
      <c r="BA87" s="272">
        <v>267.38497999999998</v>
      </c>
      <c r="BB87" s="333">
        <v>1725.29657</v>
      </c>
      <c r="BC87" s="272">
        <v>142.7097</v>
      </c>
      <c r="BD87" s="272">
        <v>12.800219999999999</v>
      </c>
      <c r="BE87" s="334">
        <v>5736.7338200000004</v>
      </c>
      <c r="BG87" s="331">
        <v>4812.1460099999995</v>
      </c>
      <c r="BH87" s="331">
        <v>0</v>
      </c>
      <c r="BI87" s="331">
        <v>0</v>
      </c>
      <c r="BJ87" s="334">
        <v>924.5878100000001</v>
      </c>
      <c r="BK87" s="334">
        <v>0</v>
      </c>
      <c r="BL87" s="331">
        <v>0</v>
      </c>
      <c r="BM87" s="331">
        <v>0</v>
      </c>
      <c r="BN87" s="334">
        <v>924.5878100000001</v>
      </c>
      <c r="BP87" s="334">
        <v>5036.9453900000008</v>
      </c>
      <c r="BQ87" s="311">
        <v>5729.6127800000004</v>
      </c>
      <c r="BR87" s="272">
        <v>-7.1210399999999998</v>
      </c>
      <c r="BS87" s="461">
        <v>-2189.2053500000002</v>
      </c>
      <c r="BT87" s="272">
        <v>39.28492</v>
      </c>
      <c r="BU87" s="272">
        <v>112.58286</v>
      </c>
      <c r="BV87" s="333">
        <v>3763.87727</v>
      </c>
      <c r="BX87" s="272">
        <v>54553.159</v>
      </c>
      <c r="BY87" s="469">
        <v>476.15433000000002</v>
      </c>
      <c r="BZ87" s="469">
        <v>-2652.9720000000002</v>
      </c>
      <c r="CA87" s="552"/>
      <c r="CB87" s="335">
        <v>9.1</v>
      </c>
      <c r="CC87" s="471">
        <f t="shared" si="1"/>
        <v>9.1</v>
      </c>
      <c r="CD87" s="558"/>
      <c r="CE87" s="272"/>
      <c r="CF87" s="262"/>
      <c r="CI87" s="158">
        <v>0</v>
      </c>
      <c r="CJ87" s="331">
        <v>8158.8521115354251</v>
      </c>
      <c r="CK87" s="331">
        <v>8184.0079645836877</v>
      </c>
      <c r="CL87" s="331">
        <v>8744.3996722461525</v>
      </c>
      <c r="CM87" s="472">
        <v>9184.6843099609614</v>
      </c>
      <c r="CN87" s="472">
        <v>9289.7829469407861</v>
      </c>
      <c r="CO87" s="480">
        <v>500.03500000000003</v>
      </c>
      <c r="CP87" s="557"/>
      <c r="CQ87" s="474">
        <v>56.877900000000004</v>
      </c>
      <c r="CR87" s="474">
        <v>0</v>
      </c>
    </row>
    <row r="88" spans="1:96" x14ac:dyDescent="0.2">
      <c r="A88" s="154">
        <v>250</v>
      </c>
      <c r="B88" s="156" t="s">
        <v>120</v>
      </c>
      <c r="C88" s="325">
        <v>1749</v>
      </c>
      <c r="D88" s="270">
        <v>8.86</v>
      </c>
      <c r="E88" s="185"/>
      <c r="G88" s="272">
        <v>1436.9209799999999</v>
      </c>
      <c r="H88" s="272">
        <v>6527.0370400000002</v>
      </c>
      <c r="I88" s="272"/>
      <c r="J88" s="272">
        <v>2520.5946400000003</v>
      </c>
      <c r="K88" s="272">
        <v>746.65748999999994</v>
      </c>
      <c r="L88" s="272">
        <v>562.52671999999995</v>
      </c>
      <c r="M88" s="272">
        <v>3829.7788500000001</v>
      </c>
      <c r="N88" s="272">
        <v>1249.9839999999999</v>
      </c>
      <c r="O88" s="272">
        <v>4.8</v>
      </c>
      <c r="P88" s="272">
        <v>166.85082</v>
      </c>
      <c r="Q88" s="272">
        <v>35.53031</v>
      </c>
      <c r="R88" s="272">
        <v>0.38725999999999999</v>
      </c>
      <c r="S88" s="272">
        <v>-137.26098000000002</v>
      </c>
      <c r="U88" s="272">
        <v>408.49941999999999</v>
      </c>
      <c r="V88" s="272">
        <v>0</v>
      </c>
      <c r="W88" s="272">
        <v>0</v>
      </c>
      <c r="X88" s="272">
        <v>-545.7604</v>
      </c>
      <c r="Y88" s="272">
        <v>0</v>
      </c>
      <c r="Z88" s="272">
        <v>0</v>
      </c>
      <c r="AA88" s="272">
        <v>0</v>
      </c>
      <c r="AB88" s="272">
        <v>-545.7604</v>
      </c>
      <c r="AD88" s="272">
        <v>1979.5572699999998</v>
      </c>
      <c r="AE88" s="157">
        <v>-334.72597999999999</v>
      </c>
      <c r="AF88" s="184">
        <v>-197.465</v>
      </c>
      <c r="AG88" s="272">
        <v>-188.42654999999999</v>
      </c>
      <c r="AH88" s="272">
        <v>70.915000000000006</v>
      </c>
      <c r="AI88" s="184">
        <v>0</v>
      </c>
      <c r="AJ88" s="272">
        <v>1577.70057</v>
      </c>
      <c r="AL88" s="272">
        <v>6085.0340000000006</v>
      </c>
      <c r="AM88" s="184">
        <v>163</v>
      </c>
      <c r="AN88" s="272">
        <v>-638.63707999999997</v>
      </c>
      <c r="AO88" s="343">
        <v>1703</v>
      </c>
      <c r="AP88" s="332">
        <v>8.9</v>
      </c>
      <c r="AQ88" s="448"/>
      <c r="AS88" s="455">
        <v>1444.50233</v>
      </c>
      <c r="AT88" s="272">
        <v>5703.3358399999997</v>
      </c>
      <c r="AU88" s="450"/>
      <c r="AV88" s="334">
        <v>2517.5436299999997</v>
      </c>
      <c r="AW88" s="334">
        <v>643.86279999999999</v>
      </c>
      <c r="AX88" s="334">
        <v>598.38873000000001</v>
      </c>
      <c r="AY88" s="334">
        <v>3759.7951600000001</v>
      </c>
      <c r="AZ88" s="334">
        <v>1194.133</v>
      </c>
      <c r="BA88" s="272">
        <v>1.36</v>
      </c>
      <c r="BB88" s="333">
        <v>171.1576</v>
      </c>
      <c r="BC88" s="272">
        <v>48.12189</v>
      </c>
      <c r="BD88" s="272">
        <v>0.25561</v>
      </c>
      <c r="BE88" s="334">
        <v>573.16332999999997</v>
      </c>
      <c r="BG88" s="331">
        <v>464.53575999999998</v>
      </c>
      <c r="BH88" s="331">
        <v>0</v>
      </c>
      <c r="BI88" s="331">
        <v>0</v>
      </c>
      <c r="BJ88" s="334">
        <v>108.62757000000001</v>
      </c>
      <c r="BK88" s="331">
        <v>0</v>
      </c>
      <c r="BL88" s="331">
        <v>0</v>
      </c>
      <c r="BM88" s="331">
        <v>0</v>
      </c>
      <c r="BN88" s="334">
        <v>108.62757000000001</v>
      </c>
      <c r="BP88" s="334">
        <v>2088.1848399999999</v>
      </c>
      <c r="BQ88" s="311">
        <v>558.33375000000001</v>
      </c>
      <c r="BR88" s="272">
        <v>-14.82958</v>
      </c>
      <c r="BS88" s="461">
        <v>-256.71660000000003</v>
      </c>
      <c r="BT88" s="272">
        <v>18.899999999999999</v>
      </c>
      <c r="BU88" s="272">
        <v>32</v>
      </c>
      <c r="BV88" s="333">
        <v>861.05005000000006</v>
      </c>
      <c r="BX88" s="272">
        <v>5465.7380000000003</v>
      </c>
      <c r="BY88" s="469">
        <v>75.90646000000001</v>
      </c>
      <c r="BZ88" s="469">
        <v>-619.29600000000005</v>
      </c>
      <c r="CA88" s="552"/>
      <c r="CB88" s="335">
        <v>9.3999999999999986</v>
      </c>
      <c r="CC88" s="471">
        <f t="shared" si="1"/>
        <v>9.3999999999999986</v>
      </c>
      <c r="CD88" s="558"/>
      <c r="CE88" s="272"/>
      <c r="CF88" s="262"/>
      <c r="CI88" s="158">
        <v>0</v>
      </c>
      <c r="CJ88" s="331">
        <v>1066.1832635227695</v>
      </c>
      <c r="CK88" s="331">
        <v>1177.469032805499</v>
      </c>
      <c r="CL88" s="331">
        <v>1052.0621429581424</v>
      </c>
      <c r="CM88" s="472">
        <v>1210.0928342347975</v>
      </c>
      <c r="CN88" s="472">
        <v>1177.4113535049278</v>
      </c>
      <c r="CO88" s="480">
        <v>-387.834</v>
      </c>
      <c r="CP88" s="557"/>
      <c r="CQ88" s="474">
        <v>0</v>
      </c>
      <c r="CR88" s="474">
        <v>0</v>
      </c>
    </row>
    <row r="89" spans="1:96" x14ac:dyDescent="0.2">
      <c r="A89" s="154">
        <v>256</v>
      </c>
      <c r="B89" s="156" t="s">
        <v>121</v>
      </c>
      <c r="C89" s="325">
        <v>1523</v>
      </c>
      <c r="D89" s="270">
        <v>8.86</v>
      </c>
      <c r="E89" s="185"/>
      <c r="G89" s="272">
        <v>2987.3533600000001</v>
      </c>
      <c r="H89" s="272">
        <v>7684.5576500000006</v>
      </c>
      <c r="I89" s="272"/>
      <c r="J89" s="272">
        <v>1946.05807</v>
      </c>
      <c r="K89" s="272">
        <v>580.16980000000001</v>
      </c>
      <c r="L89" s="272">
        <v>468.97578000000004</v>
      </c>
      <c r="M89" s="272">
        <v>2995.2036499999999</v>
      </c>
      <c r="N89" s="272">
        <v>2181.4560000000001</v>
      </c>
      <c r="O89" s="272">
        <v>32.432900000000004</v>
      </c>
      <c r="P89" s="272">
        <v>129.54086999999998</v>
      </c>
      <c r="Q89" s="272">
        <v>25.499380000000002</v>
      </c>
      <c r="R89" s="272">
        <v>1.6471600000000002</v>
      </c>
      <c r="S89" s="272">
        <v>406.19961000000001</v>
      </c>
      <c r="U89" s="272">
        <v>1166.74872</v>
      </c>
      <c r="V89" s="272">
        <v>0</v>
      </c>
      <c r="W89" s="272">
        <v>0</v>
      </c>
      <c r="X89" s="272">
        <v>-760.54911000000004</v>
      </c>
      <c r="Y89" s="272">
        <v>0</v>
      </c>
      <c r="Z89" s="272">
        <v>0</v>
      </c>
      <c r="AA89" s="272">
        <v>0</v>
      </c>
      <c r="AB89" s="272">
        <v>-760.54911000000004</v>
      </c>
      <c r="AD89" s="272">
        <v>2318.15355</v>
      </c>
      <c r="AE89" s="157">
        <v>228.18660999999997</v>
      </c>
      <c r="AF89" s="184">
        <v>-178.01300000000001</v>
      </c>
      <c r="AG89" s="272">
        <v>-920.56714999999997</v>
      </c>
      <c r="AH89" s="272">
        <v>0</v>
      </c>
      <c r="AI89" s="184">
        <v>95.07208</v>
      </c>
      <c r="AJ89" s="272">
        <v>427.95871</v>
      </c>
      <c r="AL89" s="272">
        <v>5600</v>
      </c>
      <c r="AM89" s="184">
        <v>0</v>
      </c>
      <c r="AN89" s="272">
        <v>200</v>
      </c>
      <c r="AO89" s="343">
        <v>1492</v>
      </c>
      <c r="AP89" s="332">
        <v>9.5</v>
      </c>
      <c r="AQ89" s="448"/>
      <c r="AS89" s="455">
        <v>2851.9405299999999</v>
      </c>
      <c r="AT89" s="272">
        <v>7228.4998399999995</v>
      </c>
      <c r="AU89" s="450"/>
      <c r="AV89" s="334">
        <v>2187.12988</v>
      </c>
      <c r="AW89" s="334">
        <v>461.25274999999999</v>
      </c>
      <c r="AX89" s="334">
        <v>924.69737999999995</v>
      </c>
      <c r="AY89" s="334">
        <v>3573.0800099999997</v>
      </c>
      <c r="AZ89" s="334">
        <v>2444.6651499999998</v>
      </c>
      <c r="BA89" s="272">
        <v>22.022189999999998</v>
      </c>
      <c r="BB89" s="333">
        <v>139.00926999999999</v>
      </c>
      <c r="BC89" s="272">
        <v>8.707180000000001</v>
      </c>
      <c r="BD89" s="272">
        <v>9.8665900000000004</v>
      </c>
      <c r="BE89" s="334">
        <v>1523.8393600000002</v>
      </c>
      <c r="BG89" s="331">
        <v>1007.85219</v>
      </c>
      <c r="BH89" s="331">
        <v>0</v>
      </c>
      <c r="BI89" s="334">
        <v>237.0309</v>
      </c>
      <c r="BJ89" s="334">
        <v>278.95627000000002</v>
      </c>
      <c r="BK89" s="334">
        <v>-12.66798</v>
      </c>
      <c r="BL89" s="331">
        <v>0</v>
      </c>
      <c r="BM89" s="331">
        <v>3</v>
      </c>
      <c r="BN89" s="334">
        <v>288.62425000000002</v>
      </c>
      <c r="BP89" s="334">
        <v>2759.12779</v>
      </c>
      <c r="BQ89" s="311">
        <v>1286.3529699999999</v>
      </c>
      <c r="BR89" s="272">
        <v>-0.45549000000000001</v>
      </c>
      <c r="BS89" s="461">
        <v>-405.86553999999995</v>
      </c>
      <c r="BT89" s="272">
        <v>50</v>
      </c>
      <c r="BU89" s="272">
        <v>11.38049</v>
      </c>
      <c r="BV89" s="333">
        <v>1258.2842900000001</v>
      </c>
      <c r="BX89" s="272">
        <v>5000</v>
      </c>
      <c r="BY89" s="469">
        <v>-15.315</v>
      </c>
      <c r="BZ89" s="469">
        <v>-600</v>
      </c>
      <c r="CA89" s="552"/>
      <c r="CB89" s="335">
        <v>9.5</v>
      </c>
      <c r="CC89" s="471">
        <f t="shared" si="1"/>
        <v>9.5</v>
      </c>
      <c r="CD89" s="558"/>
      <c r="CE89" s="272"/>
      <c r="CF89" s="262"/>
      <c r="CI89" s="158">
        <v>0</v>
      </c>
      <c r="CJ89" s="331">
        <v>2621.3347644427508</v>
      </c>
      <c r="CK89" s="331">
        <v>2592.2327496288308</v>
      </c>
      <c r="CL89" s="331">
        <v>2727.7133564600945</v>
      </c>
      <c r="CM89" s="472">
        <v>2907.4966386570677</v>
      </c>
      <c r="CN89" s="472">
        <v>3069.455294497091</v>
      </c>
      <c r="CO89" s="480">
        <v>556.30600000000004</v>
      </c>
      <c r="CP89" s="557"/>
      <c r="CQ89" s="474">
        <v>0</v>
      </c>
      <c r="CR89" s="474">
        <v>0.8</v>
      </c>
    </row>
    <row r="90" spans="1:96" x14ac:dyDescent="0.2">
      <c r="A90" s="154">
        <v>257</v>
      </c>
      <c r="B90" s="156" t="s">
        <v>122</v>
      </c>
      <c r="C90" s="325">
        <v>41154</v>
      </c>
      <c r="D90" s="270">
        <v>7.1100000000000012</v>
      </c>
      <c r="E90" s="185"/>
      <c r="G90" s="272">
        <v>30390.924440000003</v>
      </c>
      <c r="H90" s="272">
        <v>142267.54824</v>
      </c>
      <c r="I90" s="272"/>
      <c r="J90" s="272">
        <v>95855.762799999997</v>
      </c>
      <c r="K90" s="272">
        <v>7207.4809500000001</v>
      </c>
      <c r="L90" s="272">
        <v>13429.13571</v>
      </c>
      <c r="M90" s="272">
        <v>116492.37946</v>
      </c>
      <c r="N90" s="272">
        <v>37708.254999999997</v>
      </c>
      <c r="O90" s="272">
        <v>336.10541999999998</v>
      </c>
      <c r="P90" s="272">
        <v>829.58019999999999</v>
      </c>
      <c r="Q90" s="272">
        <v>500.49603000000002</v>
      </c>
      <c r="R90" s="272">
        <v>50.646599999999999</v>
      </c>
      <c r="S90" s="272">
        <v>42280.385310000005</v>
      </c>
      <c r="U90" s="272">
        <v>18611.871370000001</v>
      </c>
      <c r="V90" s="272">
        <v>0</v>
      </c>
      <c r="W90" s="272">
        <v>0</v>
      </c>
      <c r="X90" s="272">
        <v>23668.513940000001</v>
      </c>
      <c r="Y90" s="272">
        <v>-12.517389999999999</v>
      </c>
      <c r="Z90" s="272">
        <v>0</v>
      </c>
      <c r="AA90" s="272">
        <v>0</v>
      </c>
      <c r="AB90" s="272">
        <v>23681.031329999998</v>
      </c>
      <c r="AD90" s="272">
        <v>44926.636899999998</v>
      </c>
      <c r="AE90" s="157">
        <v>38585.382060000004</v>
      </c>
      <c r="AF90" s="184">
        <v>-3695.0032500000002</v>
      </c>
      <c r="AG90" s="272">
        <v>-26451.072809999998</v>
      </c>
      <c r="AH90" s="272">
        <v>34.200000000000003</v>
      </c>
      <c r="AI90" s="184">
        <v>3430.1200400000002</v>
      </c>
      <c r="AJ90" s="272">
        <v>40081.886409999999</v>
      </c>
      <c r="AL90" s="272">
        <v>161164.86729000002</v>
      </c>
      <c r="AM90" s="184">
        <v>636.11622</v>
      </c>
      <c r="AN90" s="272">
        <v>-45123.624880000003</v>
      </c>
      <c r="AO90" s="343">
        <v>41635</v>
      </c>
      <c r="AP90" s="332">
        <v>7.0999999999999979</v>
      </c>
      <c r="AQ90" s="448"/>
      <c r="AS90" s="455">
        <v>33801.861420000001</v>
      </c>
      <c r="AT90" s="272">
        <v>148141.55596</v>
      </c>
      <c r="AU90" s="450"/>
      <c r="AV90" s="334">
        <v>85411.006779999996</v>
      </c>
      <c r="AW90" s="334">
        <v>5684.4152000000004</v>
      </c>
      <c r="AX90" s="334">
        <v>15138.848109999999</v>
      </c>
      <c r="AY90" s="334">
        <v>106234.27009000001</v>
      </c>
      <c r="AZ90" s="334">
        <v>36565.487999999998</v>
      </c>
      <c r="BA90" s="272">
        <v>852.60205000000008</v>
      </c>
      <c r="BB90" s="333">
        <v>750.31706999999994</v>
      </c>
      <c r="BC90" s="272">
        <v>578.54165999999998</v>
      </c>
      <c r="BD90" s="272">
        <v>39.398449999999997</v>
      </c>
      <c r="BE90" s="334">
        <v>29109.691739999998</v>
      </c>
      <c r="BG90" s="331">
        <v>17585.78528</v>
      </c>
      <c r="BH90" s="331">
        <v>0</v>
      </c>
      <c r="BI90" s="331">
        <v>0</v>
      </c>
      <c r="BJ90" s="334">
        <v>11523.90646</v>
      </c>
      <c r="BK90" s="334">
        <v>-11.779959999999999</v>
      </c>
      <c r="BL90" s="334">
        <v>0</v>
      </c>
      <c r="BM90" s="334">
        <v>0</v>
      </c>
      <c r="BN90" s="334">
        <v>11535.68642</v>
      </c>
      <c r="BP90" s="334">
        <v>56462.323320000003</v>
      </c>
      <c r="BQ90" s="311">
        <v>28208.201229999999</v>
      </c>
      <c r="BR90" s="272">
        <v>-901.49050999999997</v>
      </c>
      <c r="BS90" s="461">
        <v>-49510.554969999997</v>
      </c>
      <c r="BT90" s="272">
        <v>32</v>
      </c>
      <c r="BU90" s="272">
        <v>922.70766000000003</v>
      </c>
      <c r="BV90" s="333">
        <v>7783.96029</v>
      </c>
      <c r="BX90" s="272">
        <v>147120.34119000001</v>
      </c>
      <c r="BY90" s="469">
        <v>0</v>
      </c>
      <c r="BZ90" s="469">
        <v>-14044.526099999999</v>
      </c>
      <c r="CA90" s="552"/>
      <c r="CB90" s="335">
        <v>7.1</v>
      </c>
      <c r="CC90" s="471">
        <f t="shared" si="1"/>
        <v>7.1</v>
      </c>
      <c r="CD90" s="558"/>
      <c r="CE90" s="272"/>
      <c r="CF90" s="262"/>
      <c r="CI90" s="158">
        <v>0</v>
      </c>
      <c r="CJ90" s="331">
        <v>39082.83899441595</v>
      </c>
      <c r="CK90" s="331">
        <v>40190.566096166702</v>
      </c>
      <c r="CL90" s="331">
        <v>39948.508362412278</v>
      </c>
      <c r="CM90" s="472">
        <v>42011.377637967482</v>
      </c>
      <c r="CN90" s="472">
        <v>42294.834552598164</v>
      </c>
      <c r="CO90" s="480">
        <v>-2287.0239999999999</v>
      </c>
      <c r="CP90" s="557"/>
      <c r="CQ90" s="474">
        <v>0</v>
      </c>
      <c r="CR90" s="474">
        <v>8.1999999999999993</v>
      </c>
    </row>
    <row r="91" spans="1:96" x14ac:dyDescent="0.2">
      <c r="A91" s="154">
        <v>260</v>
      </c>
      <c r="B91" s="156" t="s">
        <v>123</v>
      </c>
      <c r="C91" s="325">
        <v>9689</v>
      </c>
      <c r="D91" s="270">
        <v>8.11</v>
      </c>
      <c r="E91" s="185"/>
      <c r="G91" s="272">
        <v>7330.9260400000003</v>
      </c>
      <c r="H91" s="272">
        <v>31321.715489999999</v>
      </c>
      <c r="I91" s="272"/>
      <c r="J91" s="272">
        <v>12864.924730000001</v>
      </c>
      <c r="K91" s="272">
        <v>2381.53829</v>
      </c>
      <c r="L91" s="272">
        <v>2965.3038799999999</v>
      </c>
      <c r="M91" s="272">
        <v>18211.766899999999</v>
      </c>
      <c r="N91" s="272">
        <v>14753.054789999998</v>
      </c>
      <c r="O91" s="272">
        <v>377.39135999999996</v>
      </c>
      <c r="P91" s="272">
        <v>45.208269999999999</v>
      </c>
      <c r="Q91" s="272">
        <v>413.14325000000002</v>
      </c>
      <c r="R91" s="272">
        <v>1.4810300000000001</v>
      </c>
      <c r="S91" s="272">
        <v>9718.4454900000001</v>
      </c>
      <c r="U91" s="272">
        <v>3375.5609900000004</v>
      </c>
      <c r="V91" s="272">
        <v>0</v>
      </c>
      <c r="W91" s="272">
        <v>0</v>
      </c>
      <c r="X91" s="272">
        <v>6342.8845000000001</v>
      </c>
      <c r="Y91" s="272">
        <v>-28.410310000000003</v>
      </c>
      <c r="Z91" s="272">
        <v>4000</v>
      </c>
      <c r="AA91" s="272">
        <v>0</v>
      </c>
      <c r="AB91" s="272">
        <v>2371.2948099999999</v>
      </c>
      <c r="AD91" s="272">
        <v>29781.811739999997</v>
      </c>
      <c r="AE91" s="157">
        <v>10071.02132</v>
      </c>
      <c r="AF91" s="184">
        <v>352.57583</v>
      </c>
      <c r="AG91" s="272">
        <v>-5364.9542699999993</v>
      </c>
      <c r="AH91" s="272">
        <v>284.10154999999997</v>
      </c>
      <c r="AI91" s="184">
        <v>84.108229999999992</v>
      </c>
      <c r="AJ91" s="272">
        <v>17144.501820000001</v>
      </c>
      <c r="AL91" s="272">
        <v>1599.425</v>
      </c>
      <c r="AM91" s="184">
        <v>1.9624600000000001</v>
      </c>
      <c r="AN91" s="272">
        <v>-880.86800000000005</v>
      </c>
      <c r="AO91" s="343">
        <v>9566</v>
      </c>
      <c r="AP91" s="332">
        <v>8.1</v>
      </c>
      <c r="AQ91" s="448"/>
      <c r="AS91" s="455">
        <v>7434.3739100000003</v>
      </c>
      <c r="AT91" s="272">
        <v>31361.570500000002</v>
      </c>
      <c r="AU91" s="450"/>
      <c r="AV91" s="334">
        <v>13341.798570000001</v>
      </c>
      <c r="AW91" s="334">
        <v>2021.2682</v>
      </c>
      <c r="AX91" s="334">
        <v>3157.1682500000002</v>
      </c>
      <c r="AY91" s="334">
        <v>18520.23502</v>
      </c>
      <c r="AZ91" s="334">
        <v>12529.289359999999</v>
      </c>
      <c r="BA91" s="272">
        <v>356.41727000000003</v>
      </c>
      <c r="BB91" s="333">
        <v>29.372439999999997</v>
      </c>
      <c r="BC91" s="272">
        <v>427.51008000000002</v>
      </c>
      <c r="BD91" s="272">
        <v>369.77978999999999</v>
      </c>
      <c r="BE91" s="334">
        <v>7507.1029100000005</v>
      </c>
      <c r="BG91" s="331">
        <v>4393.7193799999995</v>
      </c>
      <c r="BH91" s="331">
        <v>0</v>
      </c>
      <c r="BI91" s="331">
        <v>0</v>
      </c>
      <c r="BJ91" s="334">
        <v>3113.3835299999996</v>
      </c>
      <c r="BK91" s="334">
        <v>-28.410310000000003</v>
      </c>
      <c r="BL91" s="334">
        <v>0</v>
      </c>
      <c r="BM91" s="331">
        <v>0</v>
      </c>
      <c r="BN91" s="334">
        <v>3141.7938399999998</v>
      </c>
      <c r="BP91" s="334">
        <v>32923.605579999996</v>
      </c>
      <c r="BQ91" s="311">
        <v>6395.4098300000005</v>
      </c>
      <c r="BR91" s="272">
        <v>-1111.69308</v>
      </c>
      <c r="BS91" s="461">
        <v>-6421.30573</v>
      </c>
      <c r="BT91" s="272">
        <v>1958.9480000000001</v>
      </c>
      <c r="BU91" s="272">
        <v>39.759</v>
      </c>
      <c r="BV91" s="333">
        <v>17266.399659999999</v>
      </c>
      <c r="BX91" s="272">
        <v>1254.2729999999999</v>
      </c>
      <c r="BY91" s="469">
        <v>49.116320000000002</v>
      </c>
      <c r="BZ91" s="469">
        <v>-345.15199999999999</v>
      </c>
      <c r="CA91" s="552"/>
      <c r="CB91" s="335">
        <v>8.1</v>
      </c>
      <c r="CC91" s="471">
        <f t="shared" si="1"/>
        <v>8.1</v>
      </c>
      <c r="CD91" s="558"/>
      <c r="CE91" s="272"/>
      <c r="CF91" s="262"/>
      <c r="CG91" s="260"/>
      <c r="CI91" s="158">
        <v>0</v>
      </c>
      <c r="CJ91" s="331">
        <v>14239.155285026962</v>
      </c>
      <c r="CK91" s="331">
        <v>14089.87685742139</v>
      </c>
      <c r="CL91" s="331">
        <v>14264.471135569929</v>
      </c>
      <c r="CM91" s="472">
        <v>14951.485394936062</v>
      </c>
      <c r="CN91" s="472">
        <v>15169.128638629303</v>
      </c>
      <c r="CO91" s="480">
        <v>244.155</v>
      </c>
      <c r="CP91" s="557"/>
      <c r="CQ91" s="474">
        <v>0.56794</v>
      </c>
      <c r="CR91" s="474">
        <v>0</v>
      </c>
    </row>
    <row r="92" spans="1:96" x14ac:dyDescent="0.2">
      <c r="A92" s="154">
        <v>261</v>
      </c>
      <c r="B92" s="156" t="s">
        <v>124</v>
      </c>
      <c r="C92" s="325">
        <v>6822</v>
      </c>
      <c r="D92" s="270">
        <v>7.61</v>
      </c>
      <c r="E92" s="185"/>
      <c r="G92" s="272">
        <v>7353.8791100000008</v>
      </c>
      <c r="H92" s="272">
        <v>33925.25404</v>
      </c>
      <c r="I92" s="272"/>
      <c r="J92" s="272">
        <v>12278.00655</v>
      </c>
      <c r="K92" s="272">
        <v>5621.4029</v>
      </c>
      <c r="L92" s="272">
        <v>8354.1563700000006</v>
      </c>
      <c r="M92" s="272">
        <v>26253.56582</v>
      </c>
      <c r="N92" s="272">
        <v>10685.396000000001</v>
      </c>
      <c r="O92" s="272">
        <v>39.967760000000006</v>
      </c>
      <c r="P92" s="272">
        <v>163.67338000000001</v>
      </c>
      <c r="Q92" s="272">
        <v>4283.8338400000002</v>
      </c>
      <c r="R92" s="272">
        <v>0.9858300000000001</v>
      </c>
      <c r="S92" s="272">
        <v>14733.002769999999</v>
      </c>
      <c r="U92" s="272">
        <v>3301.9112500000001</v>
      </c>
      <c r="V92" s="272">
        <v>0</v>
      </c>
      <c r="W92" s="272">
        <v>0</v>
      </c>
      <c r="X92" s="272">
        <v>11431.09152</v>
      </c>
      <c r="Y92" s="272">
        <v>1102.616</v>
      </c>
      <c r="Z92" s="272">
        <v>-1600</v>
      </c>
      <c r="AA92" s="272">
        <v>500</v>
      </c>
      <c r="AB92" s="272">
        <v>11428.47552</v>
      </c>
      <c r="AD92" s="272">
        <v>46931.80674</v>
      </c>
      <c r="AE92" s="157">
        <v>14256.81077</v>
      </c>
      <c r="AF92" s="184">
        <v>-476.19200000000001</v>
      </c>
      <c r="AG92" s="272">
        <v>-15909.5051</v>
      </c>
      <c r="AH92" s="272">
        <v>540.0391800000001</v>
      </c>
      <c r="AI92" s="184">
        <v>492.5</v>
      </c>
      <c r="AJ92" s="272">
        <v>7581.59076</v>
      </c>
      <c r="AL92" s="272">
        <v>4591.4488499999998</v>
      </c>
      <c r="AM92" s="184">
        <v>169</v>
      </c>
      <c r="AN92" s="272">
        <v>-2054.0652599999999</v>
      </c>
      <c r="AO92" s="343">
        <v>6837</v>
      </c>
      <c r="AP92" s="332">
        <v>7.5999999999999988</v>
      </c>
      <c r="AQ92" s="448"/>
      <c r="AS92" s="455">
        <v>8583.8349199999993</v>
      </c>
      <c r="AT92" s="272">
        <v>37242.433600000004</v>
      </c>
      <c r="AU92" s="450"/>
      <c r="AV92" s="334">
        <v>11872.446669999999</v>
      </c>
      <c r="AW92" s="334">
        <v>5252.5085899999995</v>
      </c>
      <c r="AX92" s="334">
        <v>8990.7007599999997</v>
      </c>
      <c r="AY92" s="334">
        <v>26115.656019999999</v>
      </c>
      <c r="AZ92" s="334">
        <v>11884.303</v>
      </c>
      <c r="BA92" s="272">
        <v>19.100999999999999</v>
      </c>
      <c r="BB92" s="333">
        <v>152.03299999999999</v>
      </c>
      <c r="BC92" s="272">
        <v>4367.5287199999993</v>
      </c>
      <c r="BD92" s="272">
        <v>0.57089999999999996</v>
      </c>
      <c r="BE92" s="334">
        <v>13785.742839999999</v>
      </c>
      <c r="BG92" s="331">
        <v>4029.0341699999999</v>
      </c>
      <c r="BH92" s="334">
        <v>0</v>
      </c>
      <c r="BI92" s="331">
        <v>0</v>
      </c>
      <c r="BJ92" s="334">
        <v>9756.70867</v>
      </c>
      <c r="BK92" s="331">
        <v>-245.73694</v>
      </c>
      <c r="BL92" s="334">
        <v>-340</v>
      </c>
      <c r="BM92" s="331">
        <v>500</v>
      </c>
      <c r="BN92" s="334">
        <v>9842.4456099999989</v>
      </c>
      <c r="BP92" s="334">
        <v>56774.252350000002</v>
      </c>
      <c r="BQ92" s="311">
        <v>12701.821840000001</v>
      </c>
      <c r="BR92" s="272">
        <v>-1083.921</v>
      </c>
      <c r="BS92" s="461">
        <v>-13167.533810000001</v>
      </c>
      <c r="BT92" s="272">
        <v>49.975749999999998</v>
      </c>
      <c r="BU92" s="272">
        <v>1123.2650000000001</v>
      </c>
      <c r="BV92" s="333">
        <v>8189.4117900000001</v>
      </c>
      <c r="BX92" s="272">
        <v>3065.7591499999999</v>
      </c>
      <c r="BY92" s="469">
        <v>-1640.4376100000002</v>
      </c>
      <c r="BZ92" s="469">
        <v>-1525.6896999999999</v>
      </c>
      <c r="CA92" s="552"/>
      <c r="CB92" s="335">
        <v>7.3</v>
      </c>
      <c r="CC92" s="471">
        <f t="shared" si="1"/>
        <v>7.3</v>
      </c>
      <c r="CD92" s="558"/>
      <c r="CE92" s="272"/>
      <c r="CF92" s="262"/>
      <c r="CI92" s="158">
        <v>0</v>
      </c>
      <c r="CJ92" s="331">
        <v>12986.340699196522</v>
      </c>
      <c r="CK92" s="331">
        <v>12968.134965921945</v>
      </c>
      <c r="CL92" s="331">
        <v>13428.640893866883</v>
      </c>
      <c r="CM92" s="472">
        <v>14068.142963163811</v>
      </c>
      <c r="CN92" s="472">
        <v>14423.587503597606</v>
      </c>
      <c r="CO92" s="480">
        <v>357.57100000000003</v>
      </c>
      <c r="CP92" s="557"/>
      <c r="CQ92" s="474">
        <v>206.27348999999998</v>
      </c>
      <c r="CR92" s="474">
        <v>210.35667999999998</v>
      </c>
    </row>
    <row r="93" spans="1:96" x14ac:dyDescent="0.2">
      <c r="A93" s="154">
        <v>263</v>
      </c>
      <c r="B93" s="156" t="s">
        <v>125</v>
      </c>
      <c r="C93" s="325">
        <v>7475</v>
      </c>
      <c r="D93" s="270">
        <v>9.11</v>
      </c>
      <c r="E93" s="185"/>
      <c r="G93" s="272">
        <v>6840.5939900000003</v>
      </c>
      <c r="H93" s="272">
        <v>27837.09074</v>
      </c>
      <c r="I93" s="272"/>
      <c r="J93" s="272">
        <v>11275.713109999999</v>
      </c>
      <c r="K93" s="272">
        <v>1874.8393100000001</v>
      </c>
      <c r="L93" s="272">
        <v>1608.0380400000001</v>
      </c>
      <c r="M93" s="272">
        <v>14758.590460000001</v>
      </c>
      <c r="N93" s="272">
        <v>9840.0220000000008</v>
      </c>
      <c r="O93" s="272">
        <v>7.4941300000000002</v>
      </c>
      <c r="P93" s="272">
        <v>625.31561999999997</v>
      </c>
      <c r="Q93" s="272">
        <v>1504.1214</v>
      </c>
      <c r="R93" s="272">
        <v>53.698730000000005</v>
      </c>
      <c r="S93" s="272">
        <v>4474.2015099999999</v>
      </c>
      <c r="U93" s="272">
        <v>3924.5486299999998</v>
      </c>
      <c r="V93" s="272">
        <v>0</v>
      </c>
      <c r="W93" s="272">
        <v>0</v>
      </c>
      <c r="X93" s="272">
        <v>549.65287999999998</v>
      </c>
      <c r="Y93" s="272">
        <v>-17.188970000000001</v>
      </c>
      <c r="Z93" s="272">
        <v>0</v>
      </c>
      <c r="AA93" s="272">
        <v>0</v>
      </c>
      <c r="AB93" s="272">
        <v>566.84185000000002</v>
      </c>
      <c r="AD93" s="272">
        <v>2291.16698</v>
      </c>
      <c r="AE93" s="157">
        <v>5131.5080499999995</v>
      </c>
      <c r="AF93" s="184">
        <v>657.30654000000004</v>
      </c>
      <c r="AG93" s="272">
        <v>-3683.6563099999998</v>
      </c>
      <c r="AH93" s="272">
        <v>311.97970000000004</v>
      </c>
      <c r="AI93" s="184">
        <v>3180.9149900000002</v>
      </c>
      <c r="AJ93" s="272">
        <v>8963.5908099999997</v>
      </c>
      <c r="AL93" s="272">
        <v>23472.563000000002</v>
      </c>
      <c r="AM93" s="184">
        <v>3.79887</v>
      </c>
      <c r="AN93" s="272">
        <v>-5228.3159999999998</v>
      </c>
      <c r="AO93" s="343">
        <v>7354</v>
      </c>
      <c r="AP93" s="332">
        <v>9.5</v>
      </c>
      <c r="AQ93" s="448"/>
      <c r="AS93" s="455">
        <v>6603.13393</v>
      </c>
      <c r="AT93" s="272">
        <v>26775.11882</v>
      </c>
      <c r="AU93" s="450"/>
      <c r="AV93" s="334">
        <v>11805.777470000001</v>
      </c>
      <c r="AW93" s="334">
        <v>1602.80476</v>
      </c>
      <c r="AX93" s="334">
        <v>1849.1786299999999</v>
      </c>
      <c r="AY93" s="334">
        <v>15257.760859999999</v>
      </c>
      <c r="AZ93" s="334">
        <v>9057.9230000000007</v>
      </c>
      <c r="BA93" s="272">
        <v>6.8375699999999995</v>
      </c>
      <c r="BB93" s="333">
        <v>635.64526000000001</v>
      </c>
      <c r="BC93" s="272">
        <v>1672.4377899999999</v>
      </c>
      <c r="BD93" s="272">
        <v>105.00251</v>
      </c>
      <c r="BE93" s="334">
        <v>5106.1126199999999</v>
      </c>
      <c r="BG93" s="331">
        <v>4276.6896399999996</v>
      </c>
      <c r="BH93" s="331">
        <v>0</v>
      </c>
      <c r="BI93" s="331">
        <v>0</v>
      </c>
      <c r="BJ93" s="334">
        <v>829.42297999999994</v>
      </c>
      <c r="BK93" s="334">
        <v>-17.236049999999999</v>
      </c>
      <c r="BL93" s="331">
        <v>0</v>
      </c>
      <c r="BM93" s="331">
        <v>0</v>
      </c>
      <c r="BN93" s="334">
        <v>846.65903000000003</v>
      </c>
      <c r="BP93" s="334">
        <v>3137.8260099999998</v>
      </c>
      <c r="BQ93" s="311">
        <v>4926.9979800000001</v>
      </c>
      <c r="BR93" s="272">
        <v>-179.11464000000001</v>
      </c>
      <c r="BS93" s="461">
        <v>-1472.17679</v>
      </c>
      <c r="BT93" s="272">
        <v>92.037179999999992</v>
      </c>
      <c r="BU93" s="272">
        <v>41.2</v>
      </c>
      <c r="BV93" s="333">
        <v>10124.23717</v>
      </c>
      <c r="BX93" s="272">
        <v>20872.179</v>
      </c>
      <c r="BY93" s="469">
        <v>31.52054</v>
      </c>
      <c r="BZ93" s="469">
        <v>-2600.384</v>
      </c>
      <c r="CA93" s="552"/>
      <c r="CB93" s="335">
        <v>9.5</v>
      </c>
      <c r="CC93" s="471">
        <f t="shared" si="1"/>
        <v>9.5</v>
      </c>
      <c r="CD93" s="558"/>
      <c r="CE93" s="272"/>
      <c r="CF93" s="262"/>
      <c r="CI93" s="158">
        <v>0</v>
      </c>
      <c r="CJ93" s="331">
        <v>9594.0301593667446</v>
      </c>
      <c r="CK93" s="331">
        <v>9664.645227478235</v>
      </c>
      <c r="CL93" s="331">
        <v>9852.9799433524076</v>
      </c>
      <c r="CM93" s="472">
        <v>10449.309060654579</v>
      </c>
      <c r="CN93" s="472">
        <v>10692.538980831427</v>
      </c>
      <c r="CO93" s="480">
        <v>-363.483</v>
      </c>
      <c r="CP93" s="557"/>
      <c r="CQ93" s="474">
        <v>39.48462</v>
      </c>
      <c r="CR93" s="474">
        <v>23.786060000000003</v>
      </c>
    </row>
    <row r="94" spans="1:96" x14ac:dyDescent="0.2">
      <c r="A94" s="154">
        <v>265</v>
      </c>
      <c r="B94" s="156" t="s">
        <v>126</v>
      </c>
      <c r="C94" s="325">
        <v>1035</v>
      </c>
      <c r="D94" s="270">
        <v>9.11</v>
      </c>
      <c r="E94" s="185"/>
      <c r="G94" s="272">
        <v>1531.2667300000001</v>
      </c>
      <c r="H94" s="272">
        <v>4104.8032000000003</v>
      </c>
      <c r="I94" s="272"/>
      <c r="J94" s="272">
        <v>1257.6018100000001</v>
      </c>
      <c r="K94" s="272">
        <v>589.08105</v>
      </c>
      <c r="L94" s="272">
        <v>558.38271999999995</v>
      </c>
      <c r="M94" s="272">
        <v>2405.06558</v>
      </c>
      <c r="N94" s="272">
        <v>1560.23</v>
      </c>
      <c r="O94" s="272">
        <v>0</v>
      </c>
      <c r="P94" s="272">
        <v>117.65155</v>
      </c>
      <c r="Q94" s="272">
        <v>19.10716</v>
      </c>
      <c r="R94" s="272">
        <v>2.7019999999999999E-2</v>
      </c>
      <c r="S94" s="272">
        <v>1293.1876999999999</v>
      </c>
      <c r="U94" s="272">
        <v>639.32038999999997</v>
      </c>
      <c r="V94" s="272">
        <v>0</v>
      </c>
      <c r="W94" s="272">
        <v>0</v>
      </c>
      <c r="X94" s="272">
        <v>653.86731000000009</v>
      </c>
      <c r="Y94" s="272">
        <v>-20.34665</v>
      </c>
      <c r="Z94" s="272">
        <v>0</v>
      </c>
      <c r="AA94" s="272">
        <v>0</v>
      </c>
      <c r="AB94" s="272">
        <v>674.21395999999993</v>
      </c>
      <c r="AD94" s="272">
        <v>4780.4976999999999</v>
      </c>
      <c r="AE94" s="157">
        <v>1268.1876999999999</v>
      </c>
      <c r="AF94" s="184">
        <v>-25</v>
      </c>
      <c r="AG94" s="272">
        <v>-527.90767000000005</v>
      </c>
      <c r="AH94" s="272">
        <v>154.14400000000001</v>
      </c>
      <c r="AI94" s="184">
        <v>334.45100000000002</v>
      </c>
      <c r="AJ94" s="272">
        <v>4286.6826500000006</v>
      </c>
      <c r="AL94" s="272">
        <v>3944.6840000000002</v>
      </c>
      <c r="AM94" s="184">
        <v>0</v>
      </c>
      <c r="AN94" s="272">
        <v>-325.71722</v>
      </c>
      <c r="AO94" s="343">
        <v>1011</v>
      </c>
      <c r="AP94" s="332">
        <v>9.1</v>
      </c>
      <c r="AQ94" s="448"/>
      <c r="AS94" s="455">
        <v>1119.32313</v>
      </c>
      <c r="AT94" s="272">
        <v>4081.3037599999998</v>
      </c>
      <c r="AU94" s="450"/>
      <c r="AV94" s="334">
        <v>1420.3646899999999</v>
      </c>
      <c r="AW94" s="334">
        <v>480.66932000000003</v>
      </c>
      <c r="AX94" s="334">
        <v>574.52698999999996</v>
      </c>
      <c r="AY94" s="334">
        <v>2475.5610000000001</v>
      </c>
      <c r="AZ94" s="334">
        <v>1660.3510000000001</v>
      </c>
      <c r="BA94" s="272">
        <v>0</v>
      </c>
      <c r="BB94" s="333">
        <v>73.671019999999999</v>
      </c>
      <c r="BC94" s="272">
        <v>29.48302</v>
      </c>
      <c r="BD94" s="272">
        <v>0.34577999999999998</v>
      </c>
      <c r="BE94" s="334">
        <v>1129.39759</v>
      </c>
      <c r="BG94" s="331">
        <v>640.84811000000002</v>
      </c>
      <c r="BH94" s="334">
        <v>0</v>
      </c>
      <c r="BI94" s="331">
        <v>0</v>
      </c>
      <c r="BJ94" s="334">
        <v>488.54947999999996</v>
      </c>
      <c r="BK94" s="331">
        <v>-20.34665</v>
      </c>
      <c r="BL94" s="331">
        <v>0</v>
      </c>
      <c r="BM94" s="331">
        <v>0</v>
      </c>
      <c r="BN94" s="334">
        <v>508.89613000000003</v>
      </c>
      <c r="BP94" s="334">
        <v>5289.39383</v>
      </c>
      <c r="BQ94" s="311">
        <v>1129.39759</v>
      </c>
      <c r="BR94" s="272">
        <v>0</v>
      </c>
      <c r="BS94" s="461">
        <v>-167.67992999999998</v>
      </c>
      <c r="BT94" s="272">
        <v>0</v>
      </c>
      <c r="BU94" s="272">
        <v>0</v>
      </c>
      <c r="BV94" s="333">
        <v>2672.10113</v>
      </c>
      <c r="BX94" s="272">
        <v>1196.02</v>
      </c>
      <c r="BY94" s="469">
        <v>0</v>
      </c>
      <c r="BZ94" s="469">
        <v>-2748.6640000000002</v>
      </c>
      <c r="CA94" s="552"/>
      <c r="CB94" s="335">
        <v>8.9</v>
      </c>
      <c r="CC94" s="471">
        <f t="shared" si="1"/>
        <v>8.9</v>
      </c>
      <c r="CD94" s="558"/>
      <c r="CE94" s="272"/>
      <c r="CF94" s="262"/>
      <c r="CI94" s="158">
        <v>0</v>
      </c>
      <c r="CJ94" s="331">
        <v>1734.668957362866</v>
      </c>
      <c r="CK94" s="331">
        <v>1590.1649934810866</v>
      </c>
      <c r="CL94" s="331">
        <v>1748.0646528927575</v>
      </c>
      <c r="CM94" s="472">
        <v>1931.1929963204004</v>
      </c>
      <c r="CN94" s="472">
        <v>2055.8838389040957</v>
      </c>
      <c r="CO94" s="480">
        <v>-272.24</v>
      </c>
      <c r="CP94" s="557"/>
      <c r="CQ94" s="474">
        <v>0</v>
      </c>
      <c r="CR94" s="474">
        <v>0</v>
      </c>
    </row>
    <row r="95" spans="1:96" x14ac:dyDescent="0.2">
      <c r="A95" s="154">
        <v>271</v>
      </c>
      <c r="B95" s="156" t="s">
        <v>127</v>
      </c>
      <c r="C95" s="325">
        <v>6766</v>
      </c>
      <c r="D95" s="270">
        <v>9.11</v>
      </c>
      <c r="E95" s="185"/>
      <c r="G95" s="272">
        <v>4010.5983900000001</v>
      </c>
      <c r="H95" s="272">
        <v>20011.947059999999</v>
      </c>
      <c r="I95" s="272"/>
      <c r="J95" s="272">
        <v>12320.498960000001</v>
      </c>
      <c r="K95" s="272">
        <v>1269.82115</v>
      </c>
      <c r="L95" s="272">
        <v>2466.9908300000002</v>
      </c>
      <c r="M95" s="272">
        <v>16057.310939999999</v>
      </c>
      <c r="N95" s="272">
        <v>4148.9610000000002</v>
      </c>
      <c r="O95" s="272">
        <v>119.35339999999999</v>
      </c>
      <c r="P95" s="272">
        <v>330.85167999999999</v>
      </c>
      <c r="Q95" s="272">
        <v>23.013960000000001</v>
      </c>
      <c r="R95" s="272">
        <v>11.07522</v>
      </c>
      <c r="S95" s="272">
        <v>4005.36373</v>
      </c>
      <c r="U95" s="272">
        <v>2148.0299500000001</v>
      </c>
      <c r="V95" s="272">
        <v>15.733930000000001</v>
      </c>
      <c r="W95" s="272">
        <v>0</v>
      </c>
      <c r="X95" s="272">
        <v>1873.06771</v>
      </c>
      <c r="Y95" s="272">
        <v>0</v>
      </c>
      <c r="Z95" s="272">
        <v>0</v>
      </c>
      <c r="AA95" s="272">
        <v>0</v>
      </c>
      <c r="AB95" s="272">
        <v>1873.06771</v>
      </c>
      <c r="AD95" s="272">
        <v>6447.5051500000009</v>
      </c>
      <c r="AE95" s="157">
        <v>4021.0976600000004</v>
      </c>
      <c r="AF95" s="184">
        <v>0</v>
      </c>
      <c r="AG95" s="272">
        <v>-1867.75954</v>
      </c>
      <c r="AH95" s="272">
        <v>26.003</v>
      </c>
      <c r="AI95" s="184">
        <v>0</v>
      </c>
      <c r="AJ95" s="272">
        <v>2107.8164200000001</v>
      </c>
      <c r="AL95" s="272">
        <v>15682.47812</v>
      </c>
      <c r="AM95" s="184">
        <v>15</v>
      </c>
      <c r="AN95" s="272">
        <v>-1520.11049</v>
      </c>
      <c r="AO95" s="343">
        <v>6668</v>
      </c>
      <c r="AP95" s="332">
        <v>9.1999999999999993</v>
      </c>
      <c r="AQ95" s="448"/>
      <c r="AS95" s="455">
        <v>3931.8447999999999</v>
      </c>
      <c r="AT95" s="272">
        <v>19537.829550000002</v>
      </c>
      <c r="AU95" s="450"/>
      <c r="AV95" s="334">
        <v>12177.40149</v>
      </c>
      <c r="AW95" s="334">
        <v>961.90138999999999</v>
      </c>
      <c r="AX95" s="334">
        <v>2784.9284199999997</v>
      </c>
      <c r="AY95" s="334">
        <v>15924.231300000001</v>
      </c>
      <c r="AZ95" s="334">
        <v>2762.076</v>
      </c>
      <c r="BA95" s="272">
        <v>128.70016000000001</v>
      </c>
      <c r="BB95" s="333">
        <v>156.08704</v>
      </c>
      <c r="BC95" s="272">
        <v>15.822139999999999</v>
      </c>
      <c r="BD95" s="272">
        <v>16.916139999999999</v>
      </c>
      <c r="BE95" s="334">
        <v>3051.8416699999998</v>
      </c>
      <c r="BG95" s="331">
        <v>2755.0012999999999</v>
      </c>
      <c r="BH95" s="331">
        <v>0</v>
      </c>
      <c r="BI95" s="334">
        <v>0</v>
      </c>
      <c r="BJ95" s="334">
        <v>296.84037000000001</v>
      </c>
      <c r="BK95" s="331">
        <v>0</v>
      </c>
      <c r="BL95" s="331">
        <v>0</v>
      </c>
      <c r="BM95" s="331">
        <v>0</v>
      </c>
      <c r="BN95" s="334">
        <v>296.84037000000001</v>
      </c>
      <c r="BP95" s="334">
        <v>6854.9429800000007</v>
      </c>
      <c r="BQ95" s="311">
        <v>3060.2039100000002</v>
      </c>
      <c r="BR95" s="272">
        <v>8.358979999999999</v>
      </c>
      <c r="BS95" s="461">
        <v>-2196.0620800000002</v>
      </c>
      <c r="BT95" s="272">
        <v>170</v>
      </c>
      <c r="BU95" s="272">
        <v>8.358979999999999</v>
      </c>
      <c r="BV95" s="333">
        <v>659.68394000000001</v>
      </c>
      <c r="BX95" s="272">
        <v>17049.038639999999</v>
      </c>
      <c r="BY95" s="469">
        <v>50</v>
      </c>
      <c r="BZ95" s="469">
        <v>-2333.43948</v>
      </c>
      <c r="CA95" s="552"/>
      <c r="CB95" s="335">
        <v>9.1999999999999993</v>
      </c>
      <c r="CC95" s="471">
        <f t="shared" si="1"/>
        <v>9.1999999999999993</v>
      </c>
      <c r="CD95" s="558"/>
      <c r="CE95" s="272"/>
      <c r="CF95" s="262"/>
      <c r="CI95" s="158">
        <v>0</v>
      </c>
      <c r="CJ95" s="331">
        <v>3468.678804872638</v>
      </c>
      <c r="CK95" s="331">
        <v>3327.489233225318</v>
      </c>
      <c r="CL95" s="331">
        <v>3763.7288947137663</v>
      </c>
      <c r="CM95" s="472">
        <v>4296.5731512573648</v>
      </c>
      <c r="CN95" s="472">
        <v>4577.6032151912186</v>
      </c>
      <c r="CO95" s="480">
        <v>-248.67699999999999</v>
      </c>
      <c r="CP95" s="557"/>
      <c r="CQ95" s="474">
        <v>0</v>
      </c>
      <c r="CR95" s="474">
        <v>0</v>
      </c>
    </row>
    <row r="96" spans="1:96" x14ac:dyDescent="0.2">
      <c r="A96" s="154">
        <v>272</v>
      </c>
      <c r="B96" s="156" t="s">
        <v>128</v>
      </c>
      <c r="C96" s="325">
        <v>48295</v>
      </c>
      <c r="D96" s="270">
        <v>8.860000000000003</v>
      </c>
      <c r="E96" s="185"/>
      <c r="G96" s="272">
        <v>34790.125070000002</v>
      </c>
      <c r="H96" s="272">
        <v>166089.97496000002</v>
      </c>
      <c r="I96" s="272"/>
      <c r="J96" s="272">
        <v>91338.164799999999</v>
      </c>
      <c r="K96" s="272">
        <v>17131.8878</v>
      </c>
      <c r="L96" s="272">
        <v>16321.54717</v>
      </c>
      <c r="M96" s="272">
        <v>124791.59977</v>
      </c>
      <c r="N96" s="272">
        <v>32916.976999999999</v>
      </c>
      <c r="O96" s="272">
        <v>267.92265000000003</v>
      </c>
      <c r="P96" s="272">
        <v>3521.0742300000002</v>
      </c>
      <c r="Q96" s="272">
        <v>1378.7340900000002</v>
      </c>
      <c r="R96" s="272">
        <v>237.16138000000001</v>
      </c>
      <c r="S96" s="272">
        <v>26248.007850000002</v>
      </c>
      <c r="U96" s="272">
        <v>17896.614399999999</v>
      </c>
      <c r="V96" s="272">
        <v>0</v>
      </c>
      <c r="W96" s="272">
        <v>0</v>
      </c>
      <c r="X96" s="272">
        <v>8351.3934499999996</v>
      </c>
      <c r="Y96" s="272">
        <v>-377.60795000000002</v>
      </c>
      <c r="Z96" s="272">
        <v>-1620.9306000000001</v>
      </c>
      <c r="AA96" s="272">
        <v>0</v>
      </c>
      <c r="AB96" s="272">
        <v>10349.932000000001</v>
      </c>
      <c r="AD96" s="272">
        <v>48661.333780000001</v>
      </c>
      <c r="AE96" s="157">
        <v>25196.148850000001</v>
      </c>
      <c r="AF96" s="184">
        <v>-1051.8589999999999</v>
      </c>
      <c r="AG96" s="272">
        <v>-25023.60586</v>
      </c>
      <c r="AH96" s="272">
        <v>130.99533</v>
      </c>
      <c r="AI96" s="184">
        <v>2099.8412899999998</v>
      </c>
      <c r="AJ96" s="272">
        <v>26479.790860000001</v>
      </c>
      <c r="AL96" s="272">
        <v>232491.96648</v>
      </c>
      <c r="AM96" s="184">
        <v>82.9</v>
      </c>
      <c r="AN96" s="272">
        <v>-3141.36265</v>
      </c>
      <c r="AO96" s="343">
        <v>48367</v>
      </c>
      <c r="AP96" s="332">
        <v>8.9000000000000021</v>
      </c>
      <c r="AQ96" s="448"/>
      <c r="AS96" s="455">
        <v>36792.477530000004</v>
      </c>
      <c r="AT96" s="272">
        <v>170907.03271999999</v>
      </c>
      <c r="AU96" s="450"/>
      <c r="AV96" s="334">
        <v>92102.870389999996</v>
      </c>
      <c r="AW96" s="334">
        <v>13780.921060000001</v>
      </c>
      <c r="AX96" s="334">
        <v>16800.730460000002</v>
      </c>
      <c r="AY96" s="334">
        <v>122684.52191</v>
      </c>
      <c r="AZ96" s="334">
        <v>26307.538</v>
      </c>
      <c r="BA96" s="272">
        <v>296.96393</v>
      </c>
      <c r="BB96" s="333">
        <v>3826.99541</v>
      </c>
      <c r="BC96" s="272">
        <v>5190.1632399999999</v>
      </c>
      <c r="BD96" s="272">
        <v>158.19135</v>
      </c>
      <c r="BE96" s="334">
        <v>18179.392480000002</v>
      </c>
      <c r="BG96" s="331">
        <v>20358.69082</v>
      </c>
      <c r="BH96" s="334">
        <v>0</v>
      </c>
      <c r="BI96" s="331">
        <v>0</v>
      </c>
      <c r="BJ96" s="334">
        <v>-2179.2983399999998</v>
      </c>
      <c r="BK96" s="334">
        <v>7980.7253899999996</v>
      </c>
      <c r="BL96" s="334">
        <v>-8689.5894100000005</v>
      </c>
      <c r="BM96" s="334">
        <v>-71.380330000000001</v>
      </c>
      <c r="BN96" s="334">
        <v>-1399.0539899999999</v>
      </c>
      <c r="BP96" s="334">
        <v>47262.279790000001</v>
      </c>
      <c r="BQ96" s="311">
        <v>16886.527269999999</v>
      </c>
      <c r="BR96" s="272">
        <v>-1292.8652099999999</v>
      </c>
      <c r="BS96" s="461">
        <v>-37476.565560000003</v>
      </c>
      <c r="BT96" s="272">
        <v>727.88006000000007</v>
      </c>
      <c r="BU96" s="272">
        <v>1610.5989</v>
      </c>
      <c r="BV96" s="333">
        <v>22938.34921</v>
      </c>
      <c r="BX96" s="272">
        <v>248363.88837999999</v>
      </c>
      <c r="BY96" s="469">
        <v>261.14</v>
      </c>
      <c r="BZ96" s="469">
        <v>15871.921900000001</v>
      </c>
      <c r="CA96" s="552"/>
      <c r="CB96" s="335">
        <v>9.1999999999999993</v>
      </c>
      <c r="CC96" s="471">
        <f t="shared" si="1"/>
        <v>9.1999999999999993</v>
      </c>
      <c r="CD96" s="558"/>
      <c r="CE96" s="272"/>
      <c r="CF96" s="262"/>
      <c r="CI96" s="158">
        <v>0</v>
      </c>
      <c r="CJ96" s="331">
        <v>32074.778884078933</v>
      </c>
      <c r="CK96" s="331">
        <v>35752.491556040171</v>
      </c>
      <c r="CL96" s="331">
        <v>32411.870111873137</v>
      </c>
      <c r="CM96" s="472">
        <v>35876.038152542154</v>
      </c>
      <c r="CN96" s="472">
        <v>36453.898773087953</v>
      </c>
      <c r="CO96" s="480">
        <v>790.14700000000005</v>
      </c>
      <c r="CP96" s="557"/>
      <c r="CQ96" s="474">
        <v>1950.8598400000001</v>
      </c>
      <c r="CR96" s="474">
        <v>1799.9473500000001</v>
      </c>
    </row>
    <row r="97" spans="1:96" x14ac:dyDescent="0.2">
      <c r="B97" s="173" t="s">
        <v>390</v>
      </c>
      <c r="C97" s="325">
        <v>5573310</v>
      </c>
      <c r="D97" s="270">
        <v>7.33</v>
      </c>
      <c r="E97" s="185"/>
      <c r="G97" s="272">
        <v>5811772.0183600029</v>
      </c>
      <c r="H97" s="272">
        <v>20300509.567899991</v>
      </c>
      <c r="I97" s="272"/>
      <c r="J97" s="272">
        <v>10219224.574570006</v>
      </c>
      <c r="K97" s="272">
        <v>2052377.4093800003</v>
      </c>
      <c r="L97" s="272">
        <v>2182937.7717000004</v>
      </c>
      <c r="M97" s="272">
        <v>14454539.581440002</v>
      </c>
      <c r="N97" s="272">
        <v>3625507.6442200001</v>
      </c>
      <c r="O97" s="272">
        <v>320893.90259000013</v>
      </c>
      <c r="P97" s="272">
        <v>361785.20225999987</v>
      </c>
      <c r="Q97" s="272">
        <v>527763.40029000002</v>
      </c>
      <c r="R97" s="272">
        <v>63896.792419999998</v>
      </c>
      <c r="S97" s="272">
        <v>4233801.8336499985</v>
      </c>
      <c r="U97" s="272">
        <v>2495014.7214300004</v>
      </c>
      <c r="V97" s="272">
        <v>11813.032939999999</v>
      </c>
      <c r="W97" s="272">
        <v>29108.376089999998</v>
      </c>
      <c r="X97" s="272">
        <v>1721491.7690700011</v>
      </c>
      <c r="Y97" s="272">
        <v>-3015.2443299999977</v>
      </c>
      <c r="Z97" s="272">
        <v>100840.72287000003</v>
      </c>
      <c r="AA97" s="272">
        <v>32535.747809999997</v>
      </c>
      <c r="AB97" s="272">
        <v>1591130.5427199998</v>
      </c>
      <c r="AD97" s="272">
        <v>16574800.531649988</v>
      </c>
      <c r="AE97" s="157">
        <v>3982704.9828900006</v>
      </c>
      <c r="AF97" s="184">
        <v>-241779.46887999994</v>
      </c>
      <c r="AG97" s="272">
        <v>-4410237.8182400018</v>
      </c>
      <c r="AH97" s="272">
        <v>136833.85095999992</v>
      </c>
      <c r="AI97" s="184">
        <v>584984.28815999953</v>
      </c>
      <c r="AJ97" s="272">
        <v>6073124.0360999983</v>
      </c>
      <c r="AL97" s="272">
        <v>18768689.274030007</v>
      </c>
      <c r="AM97" s="184">
        <v>137102.56155000004</v>
      </c>
      <c r="AN97" s="272">
        <v>74893.713050000006</v>
      </c>
      <c r="AO97" s="343">
        <v>5605317</v>
      </c>
      <c r="AP97" s="332">
        <v>7.4661412490259718</v>
      </c>
      <c r="AQ97" s="448"/>
      <c r="AS97" s="455">
        <v>5815826.2498500021</v>
      </c>
      <c r="AT97" s="272">
        <v>20498289.947320011</v>
      </c>
      <c r="AU97" s="450"/>
      <c r="AV97" s="334">
        <v>9883399.3858699929</v>
      </c>
      <c r="AW97" s="334">
        <v>1755313.4617399992</v>
      </c>
      <c r="AX97" s="334">
        <v>2329363.8215799993</v>
      </c>
      <c r="AY97" s="334">
        <v>13968068.158800015</v>
      </c>
      <c r="AZ97" s="331">
        <v>3391173.7785399999</v>
      </c>
      <c r="BA97" s="272">
        <v>359065.81443000038</v>
      </c>
      <c r="BB97" s="333">
        <v>452488.45344000019</v>
      </c>
      <c r="BC97" s="272">
        <v>525089.08888000005</v>
      </c>
      <c r="BD97" s="272">
        <v>48718.75119000001</v>
      </c>
      <c r="BE97" s="334">
        <v>3262503.9811799959</v>
      </c>
      <c r="BG97" s="331">
        <v>2572895.3540199995</v>
      </c>
      <c r="BH97" s="334">
        <v>380666.79035999993</v>
      </c>
      <c r="BI97" s="334">
        <v>20164.93303</v>
      </c>
      <c r="BJ97" s="334">
        <v>1050110.4844900002</v>
      </c>
      <c r="BK97" s="334">
        <v>14741.796169999991</v>
      </c>
      <c r="BL97" s="334">
        <v>4516.707559999998</v>
      </c>
      <c r="BM97" s="334">
        <v>23345.161309999996</v>
      </c>
      <c r="BN97" s="334">
        <v>1007506.8197799999</v>
      </c>
      <c r="BP97" s="331">
        <v>17592147.472699989</v>
      </c>
      <c r="BQ97" s="311">
        <v>3198908.2864899971</v>
      </c>
      <c r="BR97" s="272">
        <v>-416917.07476000011</v>
      </c>
      <c r="BS97" s="331">
        <v>-4476919.8362299986</v>
      </c>
      <c r="BT97" s="272">
        <v>114670.46897999998</v>
      </c>
      <c r="BU97" s="272">
        <v>757456.30896000017</v>
      </c>
      <c r="BV97" s="333">
        <v>5836260.8694999954</v>
      </c>
      <c r="BX97" s="272">
        <v>19338986.144450013</v>
      </c>
      <c r="BY97" s="469">
        <v>-187770.51311</v>
      </c>
      <c r="BZ97" s="469">
        <v>628952.20760000008</v>
      </c>
      <c r="CB97" s="335">
        <v>7.5294273297796392</v>
      </c>
      <c r="CC97" s="471">
        <f t="shared" si="1"/>
        <v>7.5294273297796392</v>
      </c>
      <c r="CD97" s="558"/>
      <c r="CE97" s="272"/>
      <c r="CF97" s="262"/>
      <c r="CI97" s="158">
        <v>20000</v>
      </c>
      <c r="CJ97" s="331">
        <v>4040117.5635907287</v>
      </c>
      <c r="CK97" s="331">
        <v>4226184.6252720989</v>
      </c>
      <c r="CL97" s="331">
        <v>4337796.8127647014</v>
      </c>
      <c r="CM97" s="472">
        <v>4691384.9723197985</v>
      </c>
      <c r="CN97" s="472">
        <v>4799886.2935205176</v>
      </c>
      <c r="CO97" s="480">
        <v>180179.73099999991</v>
      </c>
      <c r="CP97" s="557"/>
      <c r="CQ97" s="474">
        <v>219524.0802600001</v>
      </c>
      <c r="CR97" s="474">
        <v>202526.95428999997</v>
      </c>
    </row>
    <row r="98" spans="1:96" x14ac:dyDescent="0.2">
      <c r="A98" s="154">
        <v>273</v>
      </c>
      <c r="B98" s="156" t="s">
        <v>129</v>
      </c>
      <c r="C98" s="325">
        <v>4011</v>
      </c>
      <c r="D98" s="270">
        <v>7.86</v>
      </c>
      <c r="E98" s="185"/>
      <c r="G98" s="272">
        <v>5701.5142400000004</v>
      </c>
      <c r="H98" s="272">
        <v>18696.324379999998</v>
      </c>
      <c r="I98" s="272"/>
      <c r="J98" s="272">
        <v>6628.98981</v>
      </c>
      <c r="K98" s="272">
        <v>871.47993000000008</v>
      </c>
      <c r="L98" s="272">
        <v>4434.4205899999997</v>
      </c>
      <c r="M98" s="272">
        <v>11934.89033</v>
      </c>
      <c r="N98" s="272">
        <v>5242.43</v>
      </c>
      <c r="O98" s="272">
        <v>24.694479999999999</v>
      </c>
      <c r="P98" s="272">
        <v>116.33942</v>
      </c>
      <c r="Q98" s="272">
        <v>20.75798</v>
      </c>
      <c r="R98" s="272">
        <v>0.87224999999999997</v>
      </c>
      <c r="S98" s="272">
        <v>4196.3563099999992</v>
      </c>
      <c r="U98" s="272">
        <v>1493.0418300000001</v>
      </c>
      <c r="V98" s="272">
        <v>38.505989999999997</v>
      </c>
      <c r="W98" s="272">
        <v>62.959540000000004</v>
      </c>
      <c r="X98" s="272">
        <v>2678.8609300000003</v>
      </c>
      <c r="Y98" s="272">
        <v>-14.34943</v>
      </c>
      <c r="Z98" s="272">
        <v>0</v>
      </c>
      <c r="AA98" s="272">
        <v>0</v>
      </c>
      <c r="AB98" s="272">
        <v>2693.21036</v>
      </c>
      <c r="AD98" s="272">
        <v>21271.857680000001</v>
      </c>
      <c r="AE98" s="157">
        <v>3904.8880899999999</v>
      </c>
      <c r="AF98" s="184">
        <v>-267.01466999999997</v>
      </c>
      <c r="AG98" s="272">
        <v>-1686.90823</v>
      </c>
      <c r="AH98" s="272">
        <v>0</v>
      </c>
      <c r="AI98" s="184">
        <v>455.47266999999999</v>
      </c>
      <c r="AJ98" s="272">
        <v>9690.8819600000006</v>
      </c>
      <c r="AL98" s="272">
        <v>3504.6949999999997</v>
      </c>
      <c r="AM98" s="184">
        <v>-116.54955</v>
      </c>
      <c r="AN98" s="272">
        <v>-185.05199999999999</v>
      </c>
      <c r="AO98" s="343">
        <v>3987</v>
      </c>
      <c r="AP98" s="332">
        <v>7.9</v>
      </c>
      <c r="AQ98" s="448"/>
      <c r="AS98" s="455">
        <v>5925.4498700000004</v>
      </c>
      <c r="AT98" s="272">
        <v>19252.47118</v>
      </c>
      <c r="AU98" s="450"/>
      <c r="AV98" s="334">
        <v>6327.57575</v>
      </c>
      <c r="AW98" s="334">
        <v>763.75922000000003</v>
      </c>
      <c r="AX98" s="334">
        <v>4820.1356500000002</v>
      </c>
      <c r="AY98" s="334">
        <v>11911.47062</v>
      </c>
      <c r="AZ98" s="334">
        <v>5115.8619600000002</v>
      </c>
      <c r="BA98" s="272">
        <v>113.75086999999999</v>
      </c>
      <c r="BB98" s="333">
        <v>135.43561</v>
      </c>
      <c r="BC98" s="272">
        <v>18.443849999999998</v>
      </c>
      <c r="BD98" s="272">
        <v>0.48104000000000002</v>
      </c>
      <c r="BE98" s="334">
        <v>3782.9742099999999</v>
      </c>
      <c r="BG98" s="331">
        <v>1856.4602199999999</v>
      </c>
      <c r="BH98" s="334">
        <v>0</v>
      </c>
      <c r="BI98" s="334">
        <v>0.29199999999999998</v>
      </c>
      <c r="BJ98" s="334">
        <v>1926.22199</v>
      </c>
      <c r="BK98" s="334">
        <v>-14.34943</v>
      </c>
      <c r="BL98" s="334">
        <v>0</v>
      </c>
      <c r="BM98" s="334">
        <v>0</v>
      </c>
      <c r="BN98" s="334">
        <v>1940.57142</v>
      </c>
      <c r="BP98" s="334">
        <v>23212.429100000001</v>
      </c>
      <c r="BQ98" s="311">
        <v>3591.9734500000004</v>
      </c>
      <c r="BR98" s="272">
        <v>-190.70876000000001</v>
      </c>
      <c r="BS98" s="461">
        <v>-1671.2961599999999</v>
      </c>
      <c r="BT98" s="272">
        <v>401.43189000000001</v>
      </c>
      <c r="BU98" s="272">
        <v>447.51209</v>
      </c>
      <c r="BV98" s="333">
        <v>13175.481400000001</v>
      </c>
      <c r="BX98" s="272">
        <v>3467.4589999999998</v>
      </c>
      <c r="BY98" s="469">
        <v>212.06148999999999</v>
      </c>
      <c r="BZ98" s="469">
        <v>-37.235999999999997</v>
      </c>
      <c r="CA98" s="554"/>
      <c r="CB98" s="335">
        <v>8.4</v>
      </c>
      <c r="CC98" s="471">
        <f t="shared" si="1"/>
        <v>8.4</v>
      </c>
      <c r="CD98" s="558"/>
      <c r="CE98" s="272"/>
      <c r="CF98" s="262"/>
      <c r="CI98" s="158">
        <v>0</v>
      </c>
      <c r="CJ98" s="331">
        <v>5320.9261578710484</v>
      </c>
      <c r="CK98" s="331">
        <v>5228.8292980944616</v>
      </c>
      <c r="CL98" s="331">
        <v>5179.4328481819466</v>
      </c>
      <c r="CM98" s="472">
        <v>5526.2965847493087</v>
      </c>
      <c r="CN98" s="472">
        <v>5674.0024767460236</v>
      </c>
      <c r="CO98" s="480">
        <v>-193.321</v>
      </c>
      <c r="CP98" s="557"/>
      <c r="CQ98" s="474">
        <v>85.605329999999995</v>
      </c>
      <c r="CR98" s="474">
        <v>86.384869999999992</v>
      </c>
    </row>
    <row r="99" spans="1:96" x14ac:dyDescent="0.2">
      <c r="A99" s="154">
        <v>275</v>
      </c>
      <c r="B99" s="156" t="s">
        <v>130</v>
      </c>
      <c r="C99" s="325">
        <v>2499</v>
      </c>
      <c r="D99" s="270">
        <v>9.36</v>
      </c>
      <c r="E99" s="185"/>
      <c r="G99" s="272">
        <v>2613.3143399999999</v>
      </c>
      <c r="H99" s="272">
        <v>8971.9569100000008</v>
      </c>
      <c r="I99" s="272"/>
      <c r="J99" s="272">
        <v>3827.5499799999998</v>
      </c>
      <c r="K99" s="272">
        <v>753.57169999999996</v>
      </c>
      <c r="L99" s="272">
        <v>876.98881999999992</v>
      </c>
      <c r="M99" s="272">
        <v>5458.1104999999998</v>
      </c>
      <c r="N99" s="272">
        <v>2807.8180000000002</v>
      </c>
      <c r="O99" s="272">
        <v>26.960789999999999</v>
      </c>
      <c r="P99" s="272">
        <v>589.76442000000009</v>
      </c>
      <c r="Q99" s="272">
        <v>319.45332999999999</v>
      </c>
      <c r="R99" s="272">
        <v>35.837000000000003</v>
      </c>
      <c r="S99" s="272">
        <v>1628.09863</v>
      </c>
      <c r="U99" s="272">
        <v>947.83262999999999</v>
      </c>
      <c r="V99" s="272">
        <v>0</v>
      </c>
      <c r="W99" s="272">
        <v>0</v>
      </c>
      <c r="X99" s="272">
        <v>680.26599999999996</v>
      </c>
      <c r="Y99" s="272">
        <v>0</v>
      </c>
      <c r="Z99" s="272">
        <v>0</v>
      </c>
      <c r="AA99" s="272">
        <v>45.31</v>
      </c>
      <c r="AB99" s="272">
        <v>634.95600000000002</v>
      </c>
      <c r="AD99" s="272">
        <v>1321.0298</v>
      </c>
      <c r="AE99" s="157">
        <v>1620.08878</v>
      </c>
      <c r="AF99" s="184">
        <v>-8.0098500000000001</v>
      </c>
      <c r="AG99" s="272">
        <v>-279.59962000000002</v>
      </c>
      <c r="AH99" s="272">
        <v>4</v>
      </c>
      <c r="AI99" s="184">
        <v>8.9749999999999996</v>
      </c>
      <c r="AJ99" s="272">
        <v>283.74581000000001</v>
      </c>
      <c r="AL99" s="272">
        <v>19853.923999999999</v>
      </c>
      <c r="AM99" s="184">
        <v>63</v>
      </c>
      <c r="AN99" s="272">
        <v>-543.19799999999998</v>
      </c>
      <c r="AO99" s="343">
        <v>2441</v>
      </c>
      <c r="AP99" s="332">
        <v>9.8000000000000007</v>
      </c>
      <c r="AQ99" s="448"/>
      <c r="AS99" s="455">
        <v>2687.2742200000002</v>
      </c>
      <c r="AT99" s="272">
        <v>9033.6816400000007</v>
      </c>
      <c r="AU99" s="450"/>
      <c r="AV99" s="334">
        <v>4283.0453299999999</v>
      </c>
      <c r="AW99" s="334">
        <v>651.32169999999996</v>
      </c>
      <c r="AX99" s="334">
        <v>934.27151000000003</v>
      </c>
      <c r="AY99" s="334">
        <v>5868.6385399999999</v>
      </c>
      <c r="AZ99" s="334">
        <v>2619.4290000000001</v>
      </c>
      <c r="BA99" s="272">
        <v>21.002669999999998</v>
      </c>
      <c r="BB99" s="333">
        <v>673.20875000000001</v>
      </c>
      <c r="BC99" s="272">
        <v>303.80445000000003</v>
      </c>
      <c r="BD99" s="272">
        <v>27.835290000000001</v>
      </c>
      <c r="BE99" s="334">
        <v>1765.4232</v>
      </c>
      <c r="BG99" s="331">
        <v>1011.8482299999999</v>
      </c>
      <c r="BH99" s="334">
        <v>0</v>
      </c>
      <c r="BI99" s="331">
        <v>0</v>
      </c>
      <c r="BJ99" s="334">
        <v>753.57497000000001</v>
      </c>
      <c r="BK99" s="334">
        <v>0</v>
      </c>
      <c r="BL99" s="331">
        <v>0</v>
      </c>
      <c r="BM99" s="331">
        <v>2.4796799999999997</v>
      </c>
      <c r="BN99" s="334">
        <v>751.09529000000009</v>
      </c>
      <c r="BP99" s="334">
        <v>1094.3106699999998</v>
      </c>
      <c r="BQ99" s="311">
        <v>1763.88375</v>
      </c>
      <c r="BR99" s="272">
        <v>-1.53945</v>
      </c>
      <c r="BS99" s="461">
        <v>-685.49489000000005</v>
      </c>
      <c r="BT99" s="272">
        <v>138.71916000000002</v>
      </c>
      <c r="BU99" s="272">
        <v>1.6</v>
      </c>
      <c r="BV99" s="333">
        <v>2351.9571900000001</v>
      </c>
      <c r="BX99" s="272">
        <v>21063.664000000001</v>
      </c>
      <c r="BY99" s="469">
        <v>63</v>
      </c>
      <c r="BZ99" s="469">
        <v>1209.74</v>
      </c>
      <c r="CA99" s="552"/>
      <c r="CB99" s="335">
        <v>9.8000000000000007</v>
      </c>
      <c r="CC99" s="471">
        <f t="shared" si="1"/>
        <v>9.8000000000000007</v>
      </c>
      <c r="CD99" s="558"/>
      <c r="CE99" s="272"/>
      <c r="CF99" s="262"/>
      <c r="CI99" s="158">
        <v>0</v>
      </c>
      <c r="CJ99" s="331">
        <v>2951.2516861645086</v>
      </c>
      <c r="CK99" s="331">
        <v>2872.1202981041356</v>
      </c>
      <c r="CL99" s="331">
        <v>2759.145394577683</v>
      </c>
      <c r="CM99" s="472">
        <v>2890.8412281708079</v>
      </c>
      <c r="CN99" s="472">
        <v>2956.8870498380365</v>
      </c>
      <c r="CO99" s="480">
        <v>174.53</v>
      </c>
      <c r="CP99" s="557"/>
      <c r="CQ99" s="474">
        <v>0</v>
      </c>
      <c r="CR99" s="474">
        <v>0</v>
      </c>
    </row>
    <row r="100" spans="1:96" x14ac:dyDescent="0.2">
      <c r="A100" s="154">
        <v>276</v>
      </c>
      <c r="B100" s="156" t="s">
        <v>131</v>
      </c>
      <c r="C100" s="325">
        <v>15136</v>
      </c>
      <c r="D100" s="270">
        <v>7.8600000000000021</v>
      </c>
      <c r="E100" s="185"/>
      <c r="G100" s="272">
        <v>9446.5702700000002</v>
      </c>
      <c r="H100" s="272">
        <v>52278.111440000001</v>
      </c>
      <c r="I100" s="272"/>
      <c r="J100" s="272">
        <v>25983.072079999998</v>
      </c>
      <c r="K100" s="272">
        <v>2975.77646</v>
      </c>
      <c r="L100" s="272">
        <v>3527.2430099999997</v>
      </c>
      <c r="M100" s="272">
        <v>32486.091550000001</v>
      </c>
      <c r="N100" s="272">
        <v>18966.597000000002</v>
      </c>
      <c r="O100" s="272">
        <v>102.28164</v>
      </c>
      <c r="P100" s="272">
        <v>800.61721999999997</v>
      </c>
      <c r="Q100" s="272">
        <v>311.4051</v>
      </c>
      <c r="R100" s="272">
        <v>1.7169400000000001</v>
      </c>
      <c r="S100" s="272">
        <v>8232.4999599999992</v>
      </c>
      <c r="U100" s="272">
        <v>6957.4292999999998</v>
      </c>
      <c r="V100" s="272">
        <v>0</v>
      </c>
      <c r="W100" s="272">
        <v>0</v>
      </c>
      <c r="X100" s="272">
        <v>1275.0706599999999</v>
      </c>
      <c r="Y100" s="272">
        <v>184.03085000000002</v>
      </c>
      <c r="Z100" s="272">
        <v>900</v>
      </c>
      <c r="AA100" s="272">
        <v>0</v>
      </c>
      <c r="AB100" s="272">
        <v>191.03980999999999</v>
      </c>
      <c r="AD100" s="272">
        <v>17347.408169999999</v>
      </c>
      <c r="AE100" s="157">
        <v>7804.9825899999996</v>
      </c>
      <c r="AF100" s="184">
        <v>-427.51736999999997</v>
      </c>
      <c r="AG100" s="272">
        <v>-12542.9076</v>
      </c>
      <c r="AH100" s="272">
        <v>1098.3592200000001</v>
      </c>
      <c r="AI100" s="184">
        <v>441.36676</v>
      </c>
      <c r="AJ100" s="272">
        <v>7517.3494600000004</v>
      </c>
      <c r="AL100" s="272">
        <v>63345.807710000008</v>
      </c>
      <c r="AM100" s="184">
        <v>0</v>
      </c>
      <c r="AN100" s="272">
        <v>798.19510000000002</v>
      </c>
      <c r="AO100" s="343">
        <v>15071</v>
      </c>
      <c r="AP100" s="332">
        <v>8.4</v>
      </c>
      <c r="AQ100" s="448"/>
      <c r="AS100" s="455">
        <v>10292.931990000001</v>
      </c>
      <c r="AT100" s="272">
        <v>51773.963729999996</v>
      </c>
      <c r="AU100" s="450"/>
      <c r="AV100" s="334">
        <v>27287.601429999999</v>
      </c>
      <c r="AW100" s="334">
        <v>2329.9003199999997</v>
      </c>
      <c r="AX100" s="334">
        <v>3664.7319500000003</v>
      </c>
      <c r="AY100" s="334">
        <v>33282.233699999997</v>
      </c>
      <c r="AZ100" s="334">
        <v>16652.608</v>
      </c>
      <c r="BA100" s="272">
        <v>92.422359999999998</v>
      </c>
      <c r="BB100" s="333">
        <v>1116.7017499999999</v>
      </c>
      <c r="BC100" s="272">
        <v>326.52383000000003</v>
      </c>
      <c r="BD100" s="272">
        <v>1.18076</v>
      </c>
      <c r="BE100" s="334">
        <v>7754.8736399999998</v>
      </c>
      <c r="BG100" s="331">
        <v>7095.45867</v>
      </c>
      <c r="BH100" s="331">
        <v>0</v>
      </c>
      <c r="BI100" s="334">
        <v>0</v>
      </c>
      <c r="BJ100" s="334">
        <v>659.41496999999993</v>
      </c>
      <c r="BK100" s="331">
        <v>-330.48969</v>
      </c>
      <c r="BL100" s="334">
        <v>300</v>
      </c>
      <c r="BM100" s="331">
        <v>0</v>
      </c>
      <c r="BN100" s="334">
        <v>689.90466000000004</v>
      </c>
      <c r="BP100" s="334">
        <v>18037.312830000003</v>
      </c>
      <c r="BQ100" s="311">
        <v>5128.6729100000002</v>
      </c>
      <c r="BR100" s="272">
        <v>-2626.20073</v>
      </c>
      <c r="BS100" s="461">
        <v>-2599.6691800000003</v>
      </c>
      <c r="BT100" s="272">
        <v>123.511</v>
      </c>
      <c r="BU100" s="272">
        <v>1135.6177499999999</v>
      </c>
      <c r="BV100" s="333">
        <v>6383.4557799999993</v>
      </c>
      <c r="BX100" s="272">
        <v>59688.97928</v>
      </c>
      <c r="BY100" s="469">
        <v>5.7941199999999995</v>
      </c>
      <c r="BZ100" s="469">
        <v>-3656.82843</v>
      </c>
      <c r="CA100" s="552"/>
      <c r="CB100" s="335">
        <v>8.8000000000000007</v>
      </c>
      <c r="CC100" s="471">
        <f t="shared" si="1"/>
        <v>8.8000000000000007</v>
      </c>
      <c r="CD100" s="558"/>
      <c r="CE100" s="272"/>
      <c r="CF100" s="262"/>
      <c r="CI100" s="158">
        <v>0</v>
      </c>
      <c r="CJ100" s="331">
        <v>17671.29300491988</v>
      </c>
      <c r="CK100" s="331">
        <v>17099.302156612874</v>
      </c>
      <c r="CL100" s="331">
        <v>16029.464515804741</v>
      </c>
      <c r="CM100" s="472">
        <v>16948.588475593497</v>
      </c>
      <c r="CN100" s="472">
        <v>17086.313897413256</v>
      </c>
      <c r="CO100" s="480">
        <v>-1667.3820000000001</v>
      </c>
      <c r="CP100" s="557"/>
      <c r="CQ100" s="474">
        <v>0</v>
      </c>
      <c r="CR100" s="474">
        <v>0</v>
      </c>
    </row>
    <row r="101" spans="1:96" x14ac:dyDescent="0.2">
      <c r="A101" s="154">
        <v>280</v>
      </c>
      <c r="B101" s="156" t="s">
        <v>132</v>
      </c>
      <c r="C101" s="325">
        <v>2015</v>
      </c>
      <c r="D101" s="270">
        <v>9.36</v>
      </c>
      <c r="E101" s="185"/>
      <c r="G101" s="272">
        <v>3226.3339900000001</v>
      </c>
      <c r="H101" s="272">
        <v>8686.3408099999997</v>
      </c>
      <c r="I101" s="272"/>
      <c r="J101" s="272">
        <v>3150.7506400000002</v>
      </c>
      <c r="K101" s="272">
        <v>571.32245</v>
      </c>
      <c r="L101" s="272">
        <v>828.73806999999999</v>
      </c>
      <c r="M101" s="272">
        <v>4550.8111600000002</v>
      </c>
      <c r="N101" s="272">
        <v>2774.3380000000002</v>
      </c>
      <c r="O101" s="272">
        <v>17.130650000000003</v>
      </c>
      <c r="P101" s="272">
        <v>130.01409000000001</v>
      </c>
      <c r="Q101" s="272">
        <v>4.9941499999999994</v>
      </c>
      <c r="R101" s="272">
        <v>0.10837999999999999</v>
      </c>
      <c r="S101" s="272">
        <v>1757.1446699999999</v>
      </c>
      <c r="U101" s="272">
        <v>928.87592000000006</v>
      </c>
      <c r="V101" s="272">
        <v>0</v>
      </c>
      <c r="W101" s="272">
        <v>0</v>
      </c>
      <c r="X101" s="272">
        <v>828.26874999999995</v>
      </c>
      <c r="Y101" s="272">
        <v>-282.05063999999999</v>
      </c>
      <c r="Z101" s="272">
        <v>500</v>
      </c>
      <c r="AA101" s="272">
        <v>0</v>
      </c>
      <c r="AB101" s="272">
        <v>610.31939</v>
      </c>
      <c r="AD101" s="272">
        <v>5610.0182999999997</v>
      </c>
      <c r="AE101" s="157">
        <v>1758.8895600000001</v>
      </c>
      <c r="AF101" s="184">
        <v>1.7448900000000001</v>
      </c>
      <c r="AG101" s="272">
        <v>-562.36802999999998</v>
      </c>
      <c r="AH101" s="272">
        <v>0</v>
      </c>
      <c r="AI101" s="184">
        <v>-1.73489</v>
      </c>
      <c r="AJ101" s="272">
        <v>354.59044</v>
      </c>
      <c r="AL101" s="272">
        <v>5455.0540000000001</v>
      </c>
      <c r="AM101" s="184">
        <v>-2.5588699999999998</v>
      </c>
      <c r="AN101" s="272">
        <v>-471.68</v>
      </c>
      <c r="AO101" s="343">
        <v>1986</v>
      </c>
      <c r="AP101" s="332">
        <v>9.3000000000000007</v>
      </c>
      <c r="AQ101" s="448"/>
      <c r="AS101" s="455">
        <v>3105.6662200000001</v>
      </c>
      <c r="AT101" s="272">
        <v>8890.0236800000002</v>
      </c>
      <c r="AU101" s="450"/>
      <c r="AV101" s="334">
        <v>3397.1307499999998</v>
      </c>
      <c r="AW101" s="334">
        <v>431.70976000000002</v>
      </c>
      <c r="AX101" s="334">
        <v>874.13572999999997</v>
      </c>
      <c r="AY101" s="334">
        <v>4702.97624</v>
      </c>
      <c r="AZ101" s="334">
        <v>2857.4470000000001</v>
      </c>
      <c r="BA101" s="272">
        <v>18.784590000000001</v>
      </c>
      <c r="BB101" s="333">
        <v>115.59878999999999</v>
      </c>
      <c r="BC101" s="272">
        <v>14.795260000000001</v>
      </c>
      <c r="BD101" s="272">
        <v>0.12354999999999999</v>
      </c>
      <c r="BE101" s="334">
        <v>1693.92329</v>
      </c>
      <c r="BG101" s="331">
        <v>920.09143000000006</v>
      </c>
      <c r="BH101" s="331">
        <v>0</v>
      </c>
      <c r="BI101" s="331">
        <v>0</v>
      </c>
      <c r="BJ101" s="334">
        <v>773.83186000000001</v>
      </c>
      <c r="BK101" s="331">
        <v>-281.89551</v>
      </c>
      <c r="BL101" s="331">
        <v>700</v>
      </c>
      <c r="BM101" s="331">
        <v>0</v>
      </c>
      <c r="BN101" s="334">
        <v>355.72737000000001</v>
      </c>
      <c r="BP101" s="334">
        <v>5965.7456700000002</v>
      </c>
      <c r="BQ101" s="311">
        <v>1693.92329</v>
      </c>
      <c r="BR101" s="272">
        <v>0</v>
      </c>
      <c r="BS101" s="461">
        <v>-374.06979999999999</v>
      </c>
      <c r="BT101" s="272">
        <v>21.045120000000001</v>
      </c>
      <c r="BU101" s="272">
        <v>0</v>
      </c>
      <c r="BV101" s="333">
        <v>685.77276000000006</v>
      </c>
      <c r="BX101" s="272">
        <v>4359.0420000000004</v>
      </c>
      <c r="BY101" s="469">
        <v>0</v>
      </c>
      <c r="BZ101" s="469">
        <v>-1096.0119999999999</v>
      </c>
      <c r="CA101" s="552"/>
      <c r="CB101" s="335">
        <v>9.1999999999999993</v>
      </c>
      <c r="CC101" s="471">
        <f t="shared" si="1"/>
        <v>9.1999999999999993</v>
      </c>
      <c r="CD101" s="558"/>
      <c r="CE101" s="272"/>
      <c r="CF101" s="262"/>
      <c r="CI101" s="158">
        <v>0</v>
      </c>
      <c r="CJ101" s="331">
        <v>3003.4505845251824</v>
      </c>
      <c r="CK101" s="331">
        <v>3087.3135072196101</v>
      </c>
      <c r="CL101" s="331">
        <v>3188.5279445150986</v>
      </c>
      <c r="CM101" s="472">
        <v>3350.5744186993361</v>
      </c>
      <c r="CN101" s="472">
        <v>3511.8247411976045</v>
      </c>
      <c r="CO101" s="480">
        <v>-292.822</v>
      </c>
      <c r="CP101" s="557"/>
      <c r="CQ101" s="474">
        <v>0</v>
      </c>
      <c r="CR101" s="474">
        <v>0</v>
      </c>
    </row>
    <row r="102" spans="1:96" x14ac:dyDescent="0.2">
      <c r="A102" s="154">
        <v>284</v>
      </c>
      <c r="B102" s="156" t="s">
        <v>133</v>
      </c>
      <c r="C102" s="325">
        <v>2207</v>
      </c>
      <c r="D102" s="270">
        <v>7.3599999999999994</v>
      </c>
      <c r="E102" s="185"/>
      <c r="G102" s="272">
        <v>4441.72721</v>
      </c>
      <c r="H102" s="272">
        <v>9086.6368299999995</v>
      </c>
      <c r="I102" s="272"/>
      <c r="J102" s="272">
        <v>3296.7439300000001</v>
      </c>
      <c r="K102" s="272">
        <v>949.98969</v>
      </c>
      <c r="L102" s="272">
        <v>553.21071999999992</v>
      </c>
      <c r="M102" s="272">
        <v>4799.94434</v>
      </c>
      <c r="N102" s="272">
        <v>4333.4620000000004</v>
      </c>
      <c r="O102" s="272">
        <v>1.2698</v>
      </c>
      <c r="P102" s="272">
        <v>9.4263899999999996</v>
      </c>
      <c r="Q102" s="272">
        <v>11.83061</v>
      </c>
      <c r="R102" s="272">
        <v>0.94162000000000001</v>
      </c>
      <c r="S102" s="272">
        <v>4491.22912</v>
      </c>
      <c r="U102" s="272">
        <v>690.98546999999996</v>
      </c>
      <c r="V102" s="272">
        <v>0</v>
      </c>
      <c r="W102" s="272">
        <v>0</v>
      </c>
      <c r="X102" s="272">
        <v>3800.2436499999999</v>
      </c>
      <c r="Y102" s="272">
        <v>-45.280639999999998</v>
      </c>
      <c r="Z102" s="272">
        <v>1200</v>
      </c>
      <c r="AA102" s="272">
        <v>0</v>
      </c>
      <c r="AB102" s="272">
        <v>2645.5242899999998</v>
      </c>
      <c r="AD102" s="272">
        <v>7622.3716199999999</v>
      </c>
      <c r="AE102" s="157">
        <v>4820.2104500000005</v>
      </c>
      <c r="AF102" s="184">
        <v>-36.531870000000005</v>
      </c>
      <c r="AG102" s="272">
        <v>-540.45054000000005</v>
      </c>
      <c r="AH102" s="272">
        <v>0</v>
      </c>
      <c r="AI102" s="184">
        <v>38.354620000000004</v>
      </c>
      <c r="AJ102" s="272">
        <v>7625.1223899999995</v>
      </c>
      <c r="AL102" s="272">
        <v>200</v>
      </c>
      <c r="AM102" s="184">
        <v>0</v>
      </c>
      <c r="AN102" s="272">
        <v>-100</v>
      </c>
      <c r="AO102" s="343">
        <v>2186</v>
      </c>
      <c r="AP102" s="332">
        <v>7.4000000000000012</v>
      </c>
      <c r="AQ102" s="448"/>
      <c r="AS102" s="455">
        <v>3598.0452400000004</v>
      </c>
      <c r="AT102" s="272">
        <v>10011.253849999999</v>
      </c>
      <c r="AU102" s="450"/>
      <c r="AV102" s="334">
        <v>3059.2240400000001</v>
      </c>
      <c r="AW102" s="334">
        <v>1450.8618899999999</v>
      </c>
      <c r="AX102" s="334">
        <v>574.09513000000004</v>
      </c>
      <c r="AY102" s="334">
        <v>5084.1810599999999</v>
      </c>
      <c r="AZ102" s="334">
        <v>3562.5610000000001</v>
      </c>
      <c r="BA102" s="272">
        <v>131.55910999999998</v>
      </c>
      <c r="BB102" s="333">
        <v>6.2710699999999999</v>
      </c>
      <c r="BC102" s="272">
        <v>17.081880000000002</v>
      </c>
      <c r="BD102" s="272">
        <v>1.5663</v>
      </c>
      <c r="BE102" s="334">
        <v>2374.33707</v>
      </c>
      <c r="BG102" s="331">
        <v>695.40724999999998</v>
      </c>
      <c r="BH102" s="331">
        <v>0</v>
      </c>
      <c r="BI102" s="331">
        <v>0</v>
      </c>
      <c r="BJ102" s="334">
        <v>1678.9298200000001</v>
      </c>
      <c r="BK102" s="331">
        <v>-45.280639999999998</v>
      </c>
      <c r="BL102" s="331">
        <v>1000</v>
      </c>
      <c r="BM102" s="331">
        <v>0</v>
      </c>
      <c r="BN102" s="334">
        <v>724.21046000000001</v>
      </c>
      <c r="BP102" s="334">
        <v>8346.5820800000001</v>
      </c>
      <c r="BQ102" s="311">
        <v>2333.7772400000003</v>
      </c>
      <c r="BR102" s="272">
        <v>-40.559830000000005</v>
      </c>
      <c r="BS102" s="461">
        <v>-658.59865000000002</v>
      </c>
      <c r="BT102" s="272">
        <v>16.2</v>
      </c>
      <c r="BU102" s="272">
        <v>41.698599999999999</v>
      </c>
      <c r="BV102" s="333">
        <v>9029.9740099999999</v>
      </c>
      <c r="BX102" s="272">
        <v>100</v>
      </c>
      <c r="BY102" s="469">
        <v>0</v>
      </c>
      <c r="BZ102" s="469">
        <v>-100</v>
      </c>
      <c r="CA102" s="552"/>
      <c r="CB102" s="335">
        <v>7.4000000000000012</v>
      </c>
      <c r="CC102" s="471">
        <f t="shared" si="1"/>
        <v>7.4000000000000012</v>
      </c>
      <c r="CD102" s="558"/>
      <c r="CE102" s="272"/>
      <c r="CF102" s="262"/>
      <c r="CI102" s="158">
        <v>0</v>
      </c>
      <c r="CJ102" s="331">
        <v>3055.2289555033149</v>
      </c>
      <c r="CK102" s="331">
        <v>2642.7401335713125</v>
      </c>
      <c r="CL102" s="331">
        <v>2953.554195179463</v>
      </c>
      <c r="CM102" s="472">
        <v>3165.1608114991504</v>
      </c>
      <c r="CN102" s="472">
        <v>3245.2840362871666</v>
      </c>
      <c r="CO102" s="480">
        <v>909.71400000000006</v>
      </c>
      <c r="CP102" s="557"/>
      <c r="CQ102" s="474">
        <v>0</v>
      </c>
      <c r="CR102" s="474">
        <v>0</v>
      </c>
    </row>
    <row r="103" spans="1:96" x14ac:dyDescent="0.2">
      <c r="A103" s="154">
        <v>285</v>
      </c>
      <c r="B103" s="156" t="s">
        <v>134</v>
      </c>
      <c r="C103" s="325">
        <v>50500</v>
      </c>
      <c r="D103" s="270">
        <v>9.36</v>
      </c>
      <c r="E103" s="185"/>
      <c r="G103" s="272">
        <v>53922.133150000001</v>
      </c>
      <c r="H103" s="272">
        <v>176616.88621</v>
      </c>
      <c r="I103" s="272"/>
      <c r="J103" s="272">
        <v>112256.9572</v>
      </c>
      <c r="K103" s="272">
        <v>12290.4861</v>
      </c>
      <c r="L103" s="272">
        <v>17090.800600000002</v>
      </c>
      <c r="M103" s="272">
        <v>141638.2439</v>
      </c>
      <c r="N103" s="272">
        <v>22730.419000000002</v>
      </c>
      <c r="O103" s="272">
        <v>2799.91138</v>
      </c>
      <c r="P103" s="272">
        <v>5144.4760700000006</v>
      </c>
      <c r="Q103" s="272">
        <v>4212.52538</v>
      </c>
      <c r="R103" s="272">
        <v>34.799810000000001</v>
      </c>
      <c r="S103" s="272">
        <v>44480.021280000001</v>
      </c>
      <c r="U103" s="272">
        <v>16363.492410000001</v>
      </c>
      <c r="V103" s="272">
        <v>0</v>
      </c>
      <c r="W103" s="272">
        <v>0</v>
      </c>
      <c r="X103" s="272">
        <v>28116.528870000002</v>
      </c>
      <c r="Y103" s="272">
        <v>-113.26439999999999</v>
      </c>
      <c r="Z103" s="272">
        <v>0</v>
      </c>
      <c r="AA103" s="272">
        <v>0</v>
      </c>
      <c r="AB103" s="272">
        <v>28229.793269999998</v>
      </c>
      <c r="AD103" s="272">
        <v>44113.370580000003</v>
      </c>
      <c r="AE103" s="157">
        <v>44474.233590000003</v>
      </c>
      <c r="AF103" s="184">
        <v>-5.7877000000000001</v>
      </c>
      <c r="AG103" s="272">
        <v>-28317.477289999999</v>
      </c>
      <c r="AH103" s="272">
        <v>786.9</v>
      </c>
      <c r="AI103" s="184">
        <v>396.7525</v>
      </c>
      <c r="AJ103" s="272">
        <v>12466.745699999999</v>
      </c>
      <c r="AL103" s="272">
        <v>305870.6813</v>
      </c>
      <c r="AM103" s="184">
        <v>-155.12</v>
      </c>
      <c r="AN103" s="272">
        <v>38247.760299999994</v>
      </c>
      <c r="AO103" s="343">
        <v>50210</v>
      </c>
      <c r="AP103" s="332">
        <v>9.4</v>
      </c>
      <c r="AQ103" s="448"/>
      <c r="AS103" s="455">
        <v>49598.879689999994</v>
      </c>
      <c r="AT103" s="272">
        <v>168973.29886000001</v>
      </c>
      <c r="AU103" s="450"/>
      <c r="AV103" s="334">
        <v>107045.2205</v>
      </c>
      <c r="AW103" s="334">
        <v>8907.4946999999993</v>
      </c>
      <c r="AX103" s="334">
        <v>17829.76237</v>
      </c>
      <c r="AY103" s="334">
        <v>133782.47756999999</v>
      </c>
      <c r="AZ103" s="334">
        <v>5070.5870000000004</v>
      </c>
      <c r="BA103" s="272">
        <v>4387.3970300000001</v>
      </c>
      <c r="BB103" s="333">
        <v>10992.9655</v>
      </c>
      <c r="BC103" s="272">
        <v>4518.1769400000003</v>
      </c>
      <c r="BD103" s="272">
        <v>41.339089999999999</v>
      </c>
      <c r="BE103" s="334">
        <v>18119.262989999999</v>
      </c>
      <c r="BG103" s="331">
        <v>17670.34359</v>
      </c>
      <c r="BH103" s="334">
        <v>0</v>
      </c>
      <c r="BI103" s="334">
        <v>0</v>
      </c>
      <c r="BJ103" s="334">
        <v>448.9194</v>
      </c>
      <c r="BK103" s="334">
        <v>-113.26441</v>
      </c>
      <c r="BL103" s="331">
        <v>0</v>
      </c>
      <c r="BM103" s="331">
        <v>0</v>
      </c>
      <c r="BN103" s="334">
        <v>562.18381000000011</v>
      </c>
      <c r="BP103" s="334">
        <v>44675.554389999998</v>
      </c>
      <c r="BQ103" s="311">
        <v>17247.838769999998</v>
      </c>
      <c r="BR103" s="272">
        <v>-871.42422999999997</v>
      </c>
      <c r="BS103" s="461">
        <v>-27708.647209999999</v>
      </c>
      <c r="BT103" s="272">
        <v>1669.8308200000001</v>
      </c>
      <c r="BU103" s="272">
        <v>775.93863999999996</v>
      </c>
      <c r="BV103" s="333">
        <v>1892.5041999999999</v>
      </c>
      <c r="BX103" s="272">
        <v>327100.46544</v>
      </c>
      <c r="BY103" s="469">
        <v>-2.49566</v>
      </c>
      <c r="BZ103" s="469">
        <v>21229.784149999999</v>
      </c>
      <c r="CA103" s="552"/>
      <c r="CB103" s="335">
        <v>9.4</v>
      </c>
      <c r="CC103" s="471">
        <f t="shared" si="1"/>
        <v>9.4</v>
      </c>
      <c r="CD103" s="558"/>
      <c r="CE103" s="272"/>
      <c r="CF103" s="262"/>
      <c r="CI103" s="158">
        <v>0</v>
      </c>
      <c r="CJ103" s="331">
        <v>13936.77399722008</v>
      </c>
      <c r="CK103" s="331">
        <v>15918.544229289037</v>
      </c>
      <c r="CL103" s="331">
        <v>19373.592857228352</v>
      </c>
      <c r="CM103" s="472">
        <v>21389.573165007649</v>
      </c>
      <c r="CN103" s="472">
        <v>22075.257152647955</v>
      </c>
      <c r="CO103" s="480">
        <v>528.25199999999995</v>
      </c>
      <c r="CP103" s="557"/>
      <c r="CQ103" s="474">
        <v>972.95056000000011</v>
      </c>
      <c r="CR103" s="474">
        <v>769.34820999999999</v>
      </c>
    </row>
    <row r="104" spans="1:96" x14ac:dyDescent="0.2">
      <c r="A104" s="154">
        <v>286</v>
      </c>
      <c r="B104" s="156" t="s">
        <v>135</v>
      </c>
      <c r="C104" s="325">
        <v>78880</v>
      </c>
      <c r="D104" s="270">
        <v>8.61</v>
      </c>
      <c r="E104" s="185"/>
      <c r="G104" s="272">
        <v>47534.150379999999</v>
      </c>
      <c r="H104" s="272">
        <v>236106.12797999999</v>
      </c>
      <c r="I104" s="272"/>
      <c r="J104" s="272">
        <v>157373.69300999999</v>
      </c>
      <c r="K104" s="272">
        <v>24935.052019999999</v>
      </c>
      <c r="L104" s="272">
        <v>30264.747489999998</v>
      </c>
      <c r="M104" s="272">
        <v>212573.49252</v>
      </c>
      <c r="N104" s="272">
        <v>18139.673999999999</v>
      </c>
      <c r="O104" s="272">
        <v>3523.2737700000002</v>
      </c>
      <c r="P104" s="272">
        <v>7591.1885300000004</v>
      </c>
      <c r="Q104" s="272">
        <v>8308.6581200000001</v>
      </c>
      <c r="R104" s="272">
        <v>584.11292000000003</v>
      </c>
      <c r="S104" s="272">
        <v>47567.102070000001</v>
      </c>
      <c r="U104" s="272">
        <v>27867.078839999998</v>
      </c>
      <c r="V104" s="272">
        <v>0</v>
      </c>
      <c r="W104" s="272">
        <v>0</v>
      </c>
      <c r="X104" s="272">
        <v>19700.023229999999</v>
      </c>
      <c r="Y104" s="272">
        <v>-71.450940000000003</v>
      </c>
      <c r="Z104" s="272">
        <v>0</v>
      </c>
      <c r="AA104" s="272">
        <v>0</v>
      </c>
      <c r="AB104" s="272">
        <v>19771.474170000001</v>
      </c>
      <c r="AD104" s="272">
        <v>19316.658050000002</v>
      </c>
      <c r="AE104" s="157">
        <v>45553.62444</v>
      </c>
      <c r="AF104" s="184">
        <v>-2013.4776299999999</v>
      </c>
      <c r="AG104" s="272">
        <v>-30611.894260000001</v>
      </c>
      <c r="AH104" s="272">
        <v>462.22090999999995</v>
      </c>
      <c r="AI104" s="184">
        <v>2697.7177200000001</v>
      </c>
      <c r="AJ104" s="272">
        <v>31491.213929999998</v>
      </c>
      <c r="AL104" s="272">
        <v>299092.98868999997</v>
      </c>
      <c r="AM104" s="184">
        <v>51924.827740000001</v>
      </c>
      <c r="AN104" s="272">
        <v>-50446.28875</v>
      </c>
      <c r="AO104" s="343">
        <v>78386</v>
      </c>
      <c r="AP104" s="332">
        <v>8.9</v>
      </c>
      <c r="AQ104" s="448"/>
      <c r="AS104" s="455">
        <v>46586.102869999995</v>
      </c>
      <c r="AT104" s="272">
        <v>230208.54071999999</v>
      </c>
      <c r="AU104" s="450"/>
      <c r="AV104" s="334">
        <v>156137.00621000002</v>
      </c>
      <c r="AW104" s="334">
        <v>20138.106670000001</v>
      </c>
      <c r="AX104" s="334">
        <v>30099.0576</v>
      </c>
      <c r="AY104" s="334">
        <v>206374.17048</v>
      </c>
      <c r="AZ104" s="334">
        <v>-5333.7610000000004</v>
      </c>
      <c r="BA104" s="272">
        <v>1783.3248700000001</v>
      </c>
      <c r="BB104" s="333">
        <v>9009.2483400000001</v>
      </c>
      <c r="BC104" s="272">
        <v>13119.74144</v>
      </c>
      <c r="BD104" s="272">
        <v>408.75871999999998</v>
      </c>
      <c r="BE104" s="334">
        <v>24226.232250000001</v>
      </c>
      <c r="BG104" s="331">
        <v>26704.62182</v>
      </c>
      <c r="BH104" s="331">
        <v>0</v>
      </c>
      <c r="BI104" s="331">
        <v>0</v>
      </c>
      <c r="BJ104" s="334">
        <v>-2478.3895699999998</v>
      </c>
      <c r="BK104" s="334">
        <v>-71.45093</v>
      </c>
      <c r="BL104" s="334">
        <v>0</v>
      </c>
      <c r="BM104" s="331">
        <v>0</v>
      </c>
      <c r="BN104" s="334">
        <v>-2406.9386400000003</v>
      </c>
      <c r="BP104" s="334">
        <v>16909.719410000002</v>
      </c>
      <c r="BQ104" s="311">
        <v>23226.26038</v>
      </c>
      <c r="BR104" s="272">
        <v>-999.97186999999997</v>
      </c>
      <c r="BS104" s="461">
        <v>-24877.191890000002</v>
      </c>
      <c r="BT104" s="272">
        <v>640.41300000000001</v>
      </c>
      <c r="BU104" s="272">
        <v>3683.3507400000003</v>
      </c>
      <c r="BV104" s="333">
        <v>33395.664770000003</v>
      </c>
      <c r="BX104" s="272">
        <v>311645.34742000001</v>
      </c>
      <c r="BY104" s="469">
        <v>-9114.1346699999995</v>
      </c>
      <c r="BZ104" s="469">
        <v>12552.35873</v>
      </c>
      <c r="CA104" s="552"/>
      <c r="CB104" s="335">
        <v>8.9</v>
      </c>
      <c r="CC104" s="471">
        <f t="shared" si="1"/>
        <v>8.9</v>
      </c>
      <c r="CD104" s="558"/>
      <c r="CE104" s="272"/>
      <c r="CF104" s="262"/>
      <c r="CI104" s="158">
        <v>0</v>
      </c>
      <c r="CJ104" s="331">
        <v>2059.3121986307451</v>
      </c>
      <c r="CK104" s="331">
        <v>4791.9390881137597</v>
      </c>
      <c r="CL104" s="331">
        <v>12366.210280616207</v>
      </c>
      <c r="CM104" s="472">
        <v>15660.641677987223</v>
      </c>
      <c r="CN104" s="472">
        <v>17360.951464003439</v>
      </c>
      <c r="CO104" s="480">
        <v>-5668.5039999999999</v>
      </c>
      <c r="CP104" s="557"/>
      <c r="CQ104" s="474">
        <v>1769.28271</v>
      </c>
      <c r="CR104" s="474">
        <v>1323.2013700000002</v>
      </c>
    </row>
    <row r="105" spans="1:96" x14ac:dyDescent="0.2">
      <c r="A105" s="154">
        <v>287</v>
      </c>
      <c r="B105" s="262" t="s">
        <v>320</v>
      </c>
      <c r="C105" s="325">
        <v>6199</v>
      </c>
      <c r="D105" s="270">
        <v>8.8599999999999977</v>
      </c>
      <c r="E105" s="185"/>
      <c r="G105" s="272">
        <v>8330.4032200000001</v>
      </c>
      <c r="H105" s="272">
        <v>27053.517620000002</v>
      </c>
      <c r="I105" s="272"/>
      <c r="J105" s="272">
        <v>11086.743199999999</v>
      </c>
      <c r="K105" s="272">
        <v>1376.2130300000001</v>
      </c>
      <c r="L105" s="272">
        <v>3191.22775</v>
      </c>
      <c r="M105" s="272">
        <v>15654.18398</v>
      </c>
      <c r="N105" s="272">
        <v>8693.0769999999993</v>
      </c>
      <c r="O105" s="272">
        <v>2.1906099999999999</v>
      </c>
      <c r="P105" s="272">
        <v>285.35629999999998</v>
      </c>
      <c r="Q105" s="272">
        <v>90.312339999999992</v>
      </c>
      <c r="R105" s="272">
        <v>92.883610000000004</v>
      </c>
      <c r="S105" s="272">
        <v>5338.4096200000004</v>
      </c>
      <c r="U105" s="272">
        <v>3507.78361</v>
      </c>
      <c r="V105" s="272">
        <v>0</v>
      </c>
      <c r="W105" s="272">
        <v>0</v>
      </c>
      <c r="X105" s="272">
        <v>1830.62601</v>
      </c>
      <c r="Y105" s="272">
        <v>0</v>
      </c>
      <c r="Z105" s="272">
        <v>0</v>
      </c>
      <c r="AA105" s="272">
        <v>0</v>
      </c>
      <c r="AB105" s="272">
        <v>1830.62601</v>
      </c>
      <c r="AD105" s="272">
        <v>9189.0764100000015</v>
      </c>
      <c r="AE105" s="157">
        <v>4175.9955499999996</v>
      </c>
      <c r="AF105" s="184">
        <v>-1162.41407</v>
      </c>
      <c r="AG105" s="272">
        <v>-4895.0557800000006</v>
      </c>
      <c r="AH105" s="272">
        <v>995.20952</v>
      </c>
      <c r="AI105" s="184">
        <v>75.085999999999999</v>
      </c>
      <c r="AJ105" s="272">
        <v>2186.9433300000001</v>
      </c>
      <c r="AL105" s="272">
        <v>28902.458070000001</v>
      </c>
      <c r="AM105" s="184">
        <v>0</v>
      </c>
      <c r="AN105" s="272">
        <v>-3722.2149300000001</v>
      </c>
      <c r="AO105" s="343">
        <v>6121</v>
      </c>
      <c r="AP105" s="332">
        <v>8.9</v>
      </c>
      <c r="AQ105" s="448"/>
      <c r="AS105" s="455">
        <v>7978.1705000000002</v>
      </c>
      <c r="AT105" s="272">
        <v>27362.865710000002</v>
      </c>
      <c r="AU105" s="450"/>
      <c r="AV105" s="334">
        <v>11234.898449999999</v>
      </c>
      <c r="AW105" s="334">
        <v>1155.9724899999999</v>
      </c>
      <c r="AX105" s="334">
        <v>4471.6786300000003</v>
      </c>
      <c r="AY105" s="334">
        <v>16862.549569999999</v>
      </c>
      <c r="AZ105" s="334">
        <v>8585.4429999999993</v>
      </c>
      <c r="BA105" s="272">
        <v>0</v>
      </c>
      <c r="BB105" s="333">
        <v>403.76042000000001</v>
      </c>
      <c r="BC105" s="272">
        <v>39.173300000000005</v>
      </c>
      <c r="BD105" s="272">
        <v>194.93213</v>
      </c>
      <c r="BE105" s="334">
        <v>5503.7781100000002</v>
      </c>
      <c r="BG105" s="331">
        <v>4101.3576199999998</v>
      </c>
      <c r="BH105" s="331">
        <v>0</v>
      </c>
      <c r="BI105" s="331">
        <v>0</v>
      </c>
      <c r="BJ105" s="334">
        <v>1402.42049</v>
      </c>
      <c r="BK105" s="334">
        <v>0</v>
      </c>
      <c r="BL105" s="331">
        <v>0</v>
      </c>
      <c r="BM105" s="334">
        <v>0</v>
      </c>
      <c r="BN105" s="334">
        <v>1402.42049</v>
      </c>
      <c r="BP105" s="334">
        <v>10808.596439999999</v>
      </c>
      <c r="BQ105" s="311">
        <v>5331.2033200000005</v>
      </c>
      <c r="BR105" s="272">
        <v>-172.57479000000001</v>
      </c>
      <c r="BS105" s="461">
        <v>-3659.6405199999999</v>
      </c>
      <c r="BT105" s="272">
        <v>409.37660999999997</v>
      </c>
      <c r="BU105" s="272">
        <v>471.52199999999999</v>
      </c>
      <c r="BV105" s="333">
        <v>4836.428890000001</v>
      </c>
      <c r="BX105" s="272">
        <v>29248.173870000002</v>
      </c>
      <c r="BY105" s="469">
        <v>179.21946</v>
      </c>
      <c r="BZ105" s="469">
        <v>345.7158</v>
      </c>
      <c r="CA105" s="552"/>
      <c r="CB105" s="335">
        <v>8.9</v>
      </c>
      <c r="CC105" s="471">
        <f t="shared" si="1"/>
        <v>8.9</v>
      </c>
      <c r="CD105" s="558"/>
      <c r="CE105" s="272"/>
      <c r="CF105" s="262"/>
      <c r="CI105" s="158">
        <v>0</v>
      </c>
      <c r="CJ105" s="331">
        <v>8047.0955202581836</v>
      </c>
      <c r="CK105" s="331">
        <v>8044.0014146548438</v>
      </c>
      <c r="CL105" s="331">
        <v>8058.9325780519212</v>
      </c>
      <c r="CM105" s="472">
        <v>8714.539634127319</v>
      </c>
      <c r="CN105" s="472">
        <v>9125.1594304770115</v>
      </c>
      <c r="CO105" s="480">
        <v>619.98299999999995</v>
      </c>
      <c r="CP105" s="557"/>
      <c r="CQ105" s="474">
        <v>0</v>
      </c>
      <c r="CR105" s="474">
        <v>0</v>
      </c>
    </row>
    <row r="106" spans="1:96" x14ac:dyDescent="0.2">
      <c r="A106" s="154">
        <v>288</v>
      </c>
      <c r="B106" s="156" t="s">
        <v>136</v>
      </c>
      <c r="C106" s="325">
        <v>6368</v>
      </c>
      <c r="D106" s="270">
        <v>9.36</v>
      </c>
      <c r="E106" s="185"/>
      <c r="G106" s="272">
        <v>3297.22217</v>
      </c>
      <c r="H106" s="272">
        <v>20775.518379999998</v>
      </c>
      <c r="I106" s="272"/>
      <c r="J106" s="272">
        <v>11684.011349999999</v>
      </c>
      <c r="K106" s="272">
        <v>2122.91995</v>
      </c>
      <c r="L106" s="272">
        <v>1837.9405800000002</v>
      </c>
      <c r="M106" s="272">
        <v>15644.871880000001</v>
      </c>
      <c r="N106" s="272">
        <v>6673.3450000000003</v>
      </c>
      <c r="O106" s="272">
        <v>25.960429999999999</v>
      </c>
      <c r="P106" s="272">
        <v>201.74589</v>
      </c>
      <c r="Q106" s="272">
        <v>235.12002999999999</v>
      </c>
      <c r="R106" s="272">
        <v>2.6070199999999999</v>
      </c>
      <c r="S106" s="272">
        <v>4896.64822</v>
      </c>
      <c r="U106" s="272">
        <v>1501.5879600000001</v>
      </c>
      <c r="V106" s="272">
        <v>0</v>
      </c>
      <c r="W106" s="272">
        <v>0</v>
      </c>
      <c r="X106" s="272">
        <v>3395.0602599999997</v>
      </c>
      <c r="Y106" s="272">
        <v>0</v>
      </c>
      <c r="Z106" s="272">
        <v>0</v>
      </c>
      <c r="AA106" s="272">
        <v>0</v>
      </c>
      <c r="AB106" s="272">
        <v>3395.0602599999997</v>
      </c>
      <c r="AD106" s="272">
        <v>19220.154259999999</v>
      </c>
      <c r="AE106" s="157">
        <v>4879.482</v>
      </c>
      <c r="AF106" s="184">
        <v>-17.166</v>
      </c>
      <c r="AG106" s="272">
        <v>-2026.329</v>
      </c>
      <c r="AH106" s="272">
        <v>52.872999999999998</v>
      </c>
      <c r="AI106" s="184">
        <v>22.43</v>
      </c>
      <c r="AJ106" s="272">
        <v>2756.3919999999998</v>
      </c>
      <c r="AL106" s="272">
        <v>17975.895499999999</v>
      </c>
      <c r="AM106" s="184">
        <v>0</v>
      </c>
      <c r="AN106" s="272">
        <v>-4089.9349999999999</v>
      </c>
      <c r="AO106" s="343">
        <v>6342</v>
      </c>
      <c r="AP106" s="332">
        <v>8.9</v>
      </c>
      <c r="AQ106" s="448"/>
      <c r="AS106" s="455">
        <v>3628.8430600000002</v>
      </c>
      <c r="AT106" s="272">
        <v>21459.289670000002</v>
      </c>
      <c r="AU106" s="450"/>
      <c r="AV106" s="334">
        <v>10874.353630000001</v>
      </c>
      <c r="AW106" s="334">
        <v>1851.8044399999999</v>
      </c>
      <c r="AX106" s="334">
        <v>1997.7082600000001</v>
      </c>
      <c r="AY106" s="334">
        <v>14723.866330000001</v>
      </c>
      <c r="AZ106" s="334">
        <v>7517.549</v>
      </c>
      <c r="BA106" s="272">
        <v>13.69472</v>
      </c>
      <c r="BB106" s="333">
        <v>150.56005999999999</v>
      </c>
      <c r="BC106" s="272">
        <v>230.55927</v>
      </c>
      <c r="BD106" s="272">
        <v>1.36256</v>
      </c>
      <c r="BE106" s="334">
        <v>4503.3000899999997</v>
      </c>
      <c r="BG106" s="331">
        <v>1494.0440000000001</v>
      </c>
      <c r="BH106" s="331">
        <v>0</v>
      </c>
      <c r="BI106" s="331">
        <v>0</v>
      </c>
      <c r="BJ106" s="334">
        <v>3009.2560899999999</v>
      </c>
      <c r="BK106" s="331">
        <v>0</v>
      </c>
      <c r="BL106" s="331">
        <v>0</v>
      </c>
      <c r="BM106" s="331">
        <v>0</v>
      </c>
      <c r="BN106" s="334">
        <v>3009.2560899999999</v>
      </c>
      <c r="BP106" s="334">
        <v>22229.410350000002</v>
      </c>
      <c r="BQ106" s="311">
        <v>4466.2276300000003</v>
      </c>
      <c r="BR106" s="272">
        <v>-37.07246</v>
      </c>
      <c r="BS106" s="461">
        <v>-1629.24666</v>
      </c>
      <c r="BT106" s="272">
        <v>74.84</v>
      </c>
      <c r="BU106" s="272">
        <v>87.36</v>
      </c>
      <c r="BV106" s="333">
        <v>1633.8234499999999</v>
      </c>
      <c r="BX106" s="272">
        <v>14310.960499999999</v>
      </c>
      <c r="BY106" s="469">
        <v>0</v>
      </c>
      <c r="BZ106" s="469">
        <v>-3664.9349999999999</v>
      </c>
      <c r="CA106" s="552"/>
      <c r="CB106" s="335">
        <v>8.9000000000000021</v>
      </c>
      <c r="CC106" s="471">
        <f t="shared" si="1"/>
        <v>8.9000000000000021</v>
      </c>
      <c r="CD106" s="558"/>
      <c r="CE106" s="272"/>
      <c r="CF106" s="262"/>
      <c r="CI106" s="158">
        <v>0</v>
      </c>
      <c r="CJ106" s="331">
        <v>8211.7575160806373</v>
      </c>
      <c r="CK106" s="331">
        <v>8176.4919486992458</v>
      </c>
      <c r="CL106" s="331">
        <v>8576.3929876834081</v>
      </c>
      <c r="CM106" s="472">
        <v>8997.0600024455489</v>
      </c>
      <c r="CN106" s="472">
        <v>9256.3759681676893</v>
      </c>
      <c r="CO106" s="480">
        <v>324.27499999999998</v>
      </c>
      <c r="CP106" s="557"/>
      <c r="CQ106" s="474">
        <v>0</v>
      </c>
      <c r="CR106" s="474">
        <v>0</v>
      </c>
    </row>
    <row r="107" spans="1:96" x14ac:dyDescent="0.2">
      <c r="A107" s="154">
        <v>290</v>
      </c>
      <c r="B107" s="156" t="s">
        <v>137</v>
      </c>
      <c r="C107" s="325">
        <v>7582</v>
      </c>
      <c r="D107" s="270">
        <v>9.36</v>
      </c>
      <c r="E107" s="185"/>
      <c r="G107" s="272">
        <v>5924.3514000000005</v>
      </c>
      <c r="H107" s="272">
        <v>28172.874210000002</v>
      </c>
      <c r="I107" s="272"/>
      <c r="J107" s="272">
        <v>12695.476070000001</v>
      </c>
      <c r="K107" s="272">
        <v>3455.1750000000002</v>
      </c>
      <c r="L107" s="272">
        <v>2307.0356099999999</v>
      </c>
      <c r="M107" s="272">
        <v>18457.686679999999</v>
      </c>
      <c r="N107" s="272">
        <v>7323.3530000000001</v>
      </c>
      <c r="O107" s="272">
        <v>122.85378999999999</v>
      </c>
      <c r="P107" s="272">
        <v>610.57393000000002</v>
      </c>
      <c r="Q107" s="272">
        <v>2130.7408300000002</v>
      </c>
      <c r="R107" s="272">
        <v>562.4769</v>
      </c>
      <c r="S107" s="272">
        <v>4768.1253200000001</v>
      </c>
      <c r="U107" s="272">
        <v>3319.6509599999999</v>
      </c>
      <c r="V107" s="272">
        <v>0</v>
      </c>
      <c r="W107" s="272">
        <v>0</v>
      </c>
      <c r="X107" s="272">
        <v>1448.4743600000002</v>
      </c>
      <c r="Y107" s="272">
        <v>-42.448140000000002</v>
      </c>
      <c r="Z107" s="272">
        <v>0</v>
      </c>
      <c r="AA107" s="272">
        <v>0</v>
      </c>
      <c r="AB107" s="272">
        <v>1490.9224999999999</v>
      </c>
      <c r="AD107" s="272">
        <v>6660.0129099999995</v>
      </c>
      <c r="AE107" s="157">
        <v>4799.2346500000003</v>
      </c>
      <c r="AF107" s="184">
        <v>31.109330000000003</v>
      </c>
      <c r="AG107" s="272">
        <v>-1665.19858</v>
      </c>
      <c r="AH107" s="272">
        <v>232.08458999999999</v>
      </c>
      <c r="AI107" s="184">
        <v>103.67036</v>
      </c>
      <c r="AJ107" s="272">
        <v>26190.851200000001</v>
      </c>
      <c r="AL107" s="272">
        <v>33283.335999999996</v>
      </c>
      <c r="AM107" s="184">
        <v>0</v>
      </c>
      <c r="AN107" s="272">
        <v>-8321.6659999999993</v>
      </c>
      <c r="AO107" s="343">
        <v>7483</v>
      </c>
      <c r="AP107" s="332">
        <v>9.4</v>
      </c>
      <c r="AQ107" s="448"/>
      <c r="AS107" s="455">
        <v>4746.2555999999995</v>
      </c>
      <c r="AT107" s="272">
        <v>28189.796350000001</v>
      </c>
      <c r="AU107" s="450"/>
      <c r="AV107" s="334">
        <v>12866.666090000001</v>
      </c>
      <c r="AW107" s="334">
        <v>3324.3675499999999</v>
      </c>
      <c r="AX107" s="334">
        <v>2517.3053999999997</v>
      </c>
      <c r="AY107" s="334">
        <v>18708.339039999999</v>
      </c>
      <c r="AZ107" s="334">
        <v>8297.9740000000002</v>
      </c>
      <c r="BA107" s="272">
        <v>110.59796</v>
      </c>
      <c r="BB107" s="333">
        <v>935.77250000000004</v>
      </c>
      <c r="BC107" s="272">
        <v>2320.1468500000001</v>
      </c>
      <c r="BD107" s="272">
        <v>517.53462999999999</v>
      </c>
      <c r="BE107" s="334">
        <v>4826.8429999999998</v>
      </c>
      <c r="BG107" s="331">
        <v>3290.83761</v>
      </c>
      <c r="BH107" s="331">
        <v>0</v>
      </c>
      <c r="BI107" s="331">
        <v>0</v>
      </c>
      <c r="BJ107" s="334">
        <v>1536.0053899999998</v>
      </c>
      <c r="BK107" s="334">
        <v>-42.448140000000002</v>
      </c>
      <c r="BL107" s="334">
        <v>0</v>
      </c>
      <c r="BM107" s="331">
        <v>0</v>
      </c>
      <c r="BN107" s="334">
        <v>1578.45353</v>
      </c>
      <c r="BP107" s="334">
        <v>8238.4664400000001</v>
      </c>
      <c r="BQ107" s="311">
        <v>5364.0954299999994</v>
      </c>
      <c r="BR107" s="272">
        <v>537.25243</v>
      </c>
      <c r="BS107" s="461">
        <v>-1728.5241699999999</v>
      </c>
      <c r="BT107" s="272">
        <v>115.0737</v>
      </c>
      <c r="BU107" s="272">
        <v>129.78478000000001</v>
      </c>
      <c r="BV107" s="333">
        <v>28746.589120000001</v>
      </c>
      <c r="BX107" s="272">
        <v>31859.527140000002</v>
      </c>
      <c r="BY107" s="469">
        <v>0</v>
      </c>
      <c r="BZ107" s="469">
        <v>-1423.8088600000001</v>
      </c>
      <c r="CA107" s="552"/>
      <c r="CB107" s="335">
        <v>9.4</v>
      </c>
      <c r="CC107" s="471">
        <f t="shared" si="1"/>
        <v>9.4</v>
      </c>
      <c r="CD107" s="558"/>
      <c r="CE107" s="272"/>
      <c r="CF107" s="262"/>
      <c r="CI107" s="158">
        <v>0</v>
      </c>
      <c r="CJ107" s="331">
        <v>8273.8052151612283</v>
      </c>
      <c r="CK107" s="331">
        <v>7960.1803038359103</v>
      </c>
      <c r="CL107" s="331">
        <v>8485.7776101533927</v>
      </c>
      <c r="CM107" s="472">
        <v>9012.4891109615091</v>
      </c>
      <c r="CN107" s="472">
        <v>9267.2557663282787</v>
      </c>
      <c r="CO107" s="480">
        <v>-197.05799999999999</v>
      </c>
      <c r="CP107" s="557"/>
      <c r="CQ107" s="474">
        <v>155.06466</v>
      </c>
      <c r="CR107" s="474">
        <v>286.63303000000002</v>
      </c>
    </row>
    <row r="108" spans="1:96" x14ac:dyDescent="0.2">
      <c r="A108" s="154">
        <v>291</v>
      </c>
      <c r="B108" s="156" t="s">
        <v>138</v>
      </c>
      <c r="C108" s="325">
        <v>2092</v>
      </c>
      <c r="D108" s="270">
        <v>9.1100000000000012</v>
      </c>
      <c r="E108" s="185"/>
      <c r="G108" s="272">
        <v>2732.95201</v>
      </c>
      <c r="H108" s="272">
        <v>9323.4396899999992</v>
      </c>
      <c r="I108" s="272"/>
      <c r="J108" s="272">
        <v>3414.0867400000002</v>
      </c>
      <c r="K108" s="272">
        <v>932.45699999999999</v>
      </c>
      <c r="L108" s="272">
        <v>1647.6272200000001</v>
      </c>
      <c r="M108" s="272">
        <v>5994.1709600000004</v>
      </c>
      <c r="N108" s="272">
        <v>2161.4996700000002</v>
      </c>
      <c r="O108" s="272">
        <v>88.020990000000012</v>
      </c>
      <c r="P108" s="272">
        <v>230.51954000000001</v>
      </c>
      <c r="Q108" s="272">
        <v>17.12567</v>
      </c>
      <c r="R108" s="272">
        <v>5.4465500000000002</v>
      </c>
      <c r="S108" s="272">
        <v>1434.3635200000001</v>
      </c>
      <c r="U108" s="272">
        <v>1197.2974899999999</v>
      </c>
      <c r="V108" s="272">
        <v>0</v>
      </c>
      <c r="W108" s="272">
        <v>0</v>
      </c>
      <c r="X108" s="272">
        <v>237.06603000000001</v>
      </c>
      <c r="Y108" s="272">
        <v>0</v>
      </c>
      <c r="Z108" s="272">
        <v>0</v>
      </c>
      <c r="AA108" s="272">
        <v>0</v>
      </c>
      <c r="AB108" s="272">
        <v>237.06603000000001</v>
      </c>
      <c r="AD108" s="272">
        <v>6574.8194100000001</v>
      </c>
      <c r="AE108" s="157">
        <v>1371.3969399999999</v>
      </c>
      <c r="AF108" s="184">
        <v>-62.96658</v>
      </c>
      <c r="AG108" s="272">
        <v>-1060.5511799999999</v>
      </c>
      <c r="AH108" s="272">
        <v>0</v>
      </c>
      <c r="AI108" s="184">
        <v>193.24199999999999</v>
      </c>
      <c r="AJ108" s="272">
        <v>4054.42877</v>
      </c>
      <c r="AL108" s="272">
        <v>5230</v>
      </c>
      <c r="AM108" s="184">
        <v>8</v>
      </c>
      <c r="AN108" s="272">
        <v>-1047</v>
      </c>
      <c r="AO108" s="343">
        <v>2038</v>
      </c>
      <c r="AP108" s="332">
        <v>9.1</v>
      </c>
      <c r="AQ108" s="448"/>
      <c r="AS108" s="455">
        <v>2815.30926</v>
      </c>
      <c r="AT108" s="272">
        <v>9300.2746099999986</v>
      </c>
      <c r="AU108" s="450"/>
      <c r="AV108" s="334">
        <v>3476.4020699999996</v>
      </c>
      <c r="AW108" s="334">
        <v>752.38499000000002</v>
      </c>
      <c r="AX108" s="334">
        <v>1763.7088999999999</v>
      </c>
      <c r="AY108" s="334">
        <v>5992.4959600000002</v>
      </c>
      <c r="AZ108" s="334">
        <v>2539.181</v>
      </c>
      <c r="BA108" s="272">
        <v>74.449110000000005</v>
      </c>
      <c r="BB108" s="333">
        <v>242.48373999999998</v>
      </c>
      <c r="BC108" s="272">
        <v>21.19652</v>
      </c>
      <c r="BD108" s="272">
        <v>93.718399999999988</v>
      </c>
      <c r="BE108" s="334">
        <v>1806.1551000000002</v>
      </c>
      <c r="BG108" s="331">
        <v>1445.48109</v>
      </c>
      <c r="BH108" s="334">
        <v>0</v>
      </c>
      <c r="BI108" s="331">
        <v>0</v>
      </c>
      <c r="BJ108" s="334">
        <v>360.67401000000001</v>
      </c>
      <c r="BK108" s="334">
        <v>0</v>
      </c>
      <c r="BL108" s="331">
        <v>0</v>
      </c>
      <c r="BM108" s="331">
        <v>0</v>
      </c>
      <c r="BN108" s="334">
        <v>360.67401000000001</v>
      </c>
      <c r="BP108" s="334">
        <v>7156.5566699999999</v>
      </c>
      <c r="BQ108" s="311">
        <v>1806.1551000000002</v>
      </c>
      <c r="BR108" s="272">
        <v>0</v>
      </c>
      <c r="BS108" s="461">
        <v>-950.64766000000009</v>
      </c>
      <c r="BT108" s="272">
        <v>0</v>
      </c>
      <c r="BU108" s="272">
        <v>1.76</v>
      </c>
      <c r="BV108" s="333">
        <v>5213.2158899999995</v>
      </c>
      <c r="BX108" s="272">
        <v>5183</v>
      </c>
      <c r="BY108" s="469">
        <v>8</v>
      </c>
      <c r="BZ108" s="469">
        <v>-47</v>
      </c>
      <c r="CA108" s="552"/>
      <c r="CB108" s="335">
        <v>9.1</v>
      </c>
      <c r="CC108" s="471">
        <f t="shared" si="1"/>
        <v>9.1</v>
      </c>
      <c r="CD108" s="558"/>
      <c r="CE108" s="272"/>
      <c r="CF108" s="262"/>
      <c r="CI108" s="158">
        <v>0</v>
      </c>
      <c r="CJ108" s="331">
        <v>2783.0205117071173</v>
      </c>
      <c r="CK108" s="331">
        <v>2766.2947869459977</v>
      </c>
      <c r="CL108" s="331">
        <v>2699.3859256223977</v>
      </c>
      <c r="CM108" s="472">
        <v>2820.0574735711562</v>
      </c>
      <c r="CN108" s="472">
        <v>2877.3658533507114</v>
      </c>
      <c r="CO108" s="480">
        <v>118.10899999999999</v>
      </c>
      <c r="CP108" s="557"/>
      <c r="CQ108" s="474">
        <v>0</v>
      </c>
      <c r="CR108" s="474">
        <v>0</v>
      </c>
    </row>
    <row r="109" spans="1:96" x14ac:dyDescent="0.2">
      <c r="A109" s="265">
        <v>297</v>
      </c>
      <c r="B109" s="262" t="s">
        <v>139</v>
      </c>
      <c r="C109" s="325">
        <v>124021</v>
      </c>
      <c r="D109" s="270">
        <v>8.11</v>
      </c>
      <c r="E109" s="311"/>
      <c r="F109" s="311"/>
      <c r="G109" s="272">
        <v>111524.46097</v>
      </c>
      <c r="H109" s="272">
        <v>408695.73592000001</v>
      </c>
      <c r="I109" s="272"/>
      <c r="J109" s="272">
        <v>227779.40861000001</v>
      </c>
      <c r="K109" s="272">
        <v>29844.138480000001</v>
      </c>
      <c r="L109" s="272">
        <v>50445.45968</v>
      </c>
      <c r="M109" s="272">
        <v>308069.00676999998</v>
      </c>
      <c r="N109" s="272">
        <v>40061.415000000001</v>
      </c>
      <c r="O109" s="272">
        <v>12187.66855</v>
      </c>
      <c r="P109" s="272">
        <v>9077.8231699999997</v>
      </c>
      <c r="Q109" s="272">
        <v>5996.7671200000004</v>
      </c>
      <c r="R109" s="272">
        <v>4281.2531200000003</v>
      </c>
      <c r="S109" s="272">
        <v>56664.556819999998</v>
      </c>
      <c r="T109" s="262"/>
      <c r="U109" s="272">
        <v>54381.412579999997</v>
      </c>
      <c r="V109" s="272">
        <v>0</v>
      </c>
      <c r="W109" s="272">
        <v>0</v>
      </c>
      <c r="X109" s="272">
        <v>2283.1442400000001</v>
      </c>
      <c r="Y109" s="272">
        <v>-46.770780000000002</v>
      </c>
      <c r="Z109" s="272">
        <v>0</v>
      </c>
      <c r="AA109" s="272">
        <v>0</v>
      </c>
      <c r="AB109" s="272">
        <v>2329.9150199999999</v>
      </c>
      <c r="AC109" s="262"/>
      <c r="AD109" s="272">
        <v>186714.73992999998</v>
      </c>
      <c r="AE109" s="311">
        <v>59821.596109999999</v>
      </c>
      <c r="AF109" s="272">
        <v>3157.0392900000002</v>
      </c>
      <c r="AG109" s="272">
        <v>-92757.272450000004</v>
      </c>
      <c r="AH109" s="272">
        <v>1863.4724099999999</v>
      </c>
      <c r="AI109" s="272">
        <v>9808.6338300000007</v>
      </c>
      <c r="AJ109" s="272">
        <v>94527.16584999999</v>
      </c>
      <c r="AK109" s="262"/>
      <c r="AL109" s="272">
        <v>542477.71961000003</v>
      </c>
      <c r="AM109" s="272">
        <v>6481.5995499999999</v>
      </c>
      <c r="AN109" s="272">
        <v>10356.81561</v>
      </c>
      <c r="AO109" s="325">
        <v>125666</v>
      </c>
      <c r="AP109" s="332">
        <v>8.1</v>
      </c>
      <c r="AQ109" s="446"/>
      <c r="AR109" s="446"/>
      <c r="AS109" s="455">
        <v>111918.16786</v>
      </c>
      <c r="AT109" s="272">
        <v>411939.43494000001</v>
      </c>
      <c r="AU109" s="447"/>
      <c r="AV109" s="272">
        <v>226378.37109999999</v>
      </c>
      <c r="AW109" s="272">
        <v>24756.237100000002</v>
      </c>
      <c r="AX109" s="272">
        <v>51432.309689999995</v>
      </c>
      <c r="AY109" s="272">
        <v>302566.91788999998</v>
      </c>
      <c r="AZ109" s="272">
        <v>33968.555999999997</v>
      </c>
      <c r="BA109" s="272">
        <v>12064.314679999999</v>
      </c>
      <c r="BB109" s="272">
        <v>11214.539510000001</v>
      </c>
      <c r="BC109" s="272">
        <v>8453.6026999999995</v>
      </c>
      <c r="BD109" s="272">
        <v>27.64499</v>
      </c>
      <c r="BE109" s="272">
        <v>50739.863340000004</v>
      </c>
      <c r="BG109" s="272">
        <v>57616.399299999997</v>
      </c>
      <c r="BH109" s="272">
        <v>0</v>
      </c>
      <c r="BI109" s="272">
        <v>0</v>
      </c>
      <c r="BJ109" s="272">
        <v>-6876.5359600000002</v>
      </c>
      <c r="BK109" s="272">
        <v>-7.9137599999999999</v>
      </c>
      <c r="BL109" s="272">
        <v>0</v>
      </c>
      <c r="BM109" s="272">
        <v>0</v>
      </c>
      <c r="BN109" s="272">
        <v>-6868.6221999999998</v>
      </c>
      <c r="BP109" s="272">
        <v>179846.11773000003</v>
      </c>
      <c r="BQ109" s="311">
        <v>43171.219299999997</v>
      </c>
      <c r="BR109" s="272">
        <v>-7568.6440400000001</v>
      </c>
      <c r="BS109" s="272">
        <v>-75447.59259</v>
      </c>
      <c r="BT109" s="272">
        <v>2754.5281099999997</v>
      </c>
      <c r="BU109" s="272">
        <v>8653.9699899999996</v>
      </c>
      <c r="BV109" s="272">
        <v>125236.74735999999</v>
      </c>
      <c r="BX109" s="272">
        <v>597605.82045</v>
      </c>
      <c r="BY109" s="469">
        <v>7306.9933200000005</v>
      </c>
      <c r="BZ109" s="469">
        <v>55128.100840000006</v>
      </c>
      <c r="CA109" s="442"/>
      <c r="CB109" s="335">
        <v>8.1</v>
      </c>
      <c r="CC109" s="471">
        <f t="shared" si="1"/>
        <v>8.1</v>
      </c>
      <c r="CD109" s="558"/>
      <c r="CE109" s="272"/>
      <c r="CF109" s="262"/>
      <c r="CG109" s="262"/>
      <c r="CH109" s="262"/>
      <c r="CI109" s="262">
        <v>0</v>
      </c>
      <c r="CJ109" s="272">
        <v>45949.020622404263</v>
      </c>
      <c r="CK109" s="272">
        <v>55917.892947858985</v>
      </c>
      <c r="CL109" s="331">
        <v>57157.301122622681</v>
      </c>
      <c r="CM109" s="472">
        <v>66242.620666953662</v>
      </c>
      <c r="CN109" s="472">
        <v>69408.811526455363</v>
      </c>
      <c r="CO109" s="480">
        <v>3832.8069999999998</v>
      </c>
      <c r="CP109" s="557"/>
      <c r="CQ109" s="474">
        <v>880.05061999999998</v>
      </c>
      <c r="CR109" s="474">
        <v>4949.9236500000006</v>
      </c>
    </row>
    <row r="110" spans="1:96" ht="12.75" x14ac:dyDescent="0.2">
      <c r="A110" s="154">
        <v>300</v>
      </c>
      <c r="B110" s="156" t="s">
        <v>140</v>
      </c>
      <c r="C110" s="325">
        <v>3381</v>
      </c>
      <c r="D110" s="270">
        <v>8.36</v>
      </c>
      <c r="E110" s="185"/>
      <c r="G110" s="272">
        <v>3470.8943300000001</v>
      </c>
      <c r="H110" s="272">
        <v>14349.004369999999</v>
      </c>
      <c r="I110" s="272"/>
      <c r="J110" s="272">
        <v>5192.3928699999997</v>
      </c>
      <c r="K110" s="272">
        <v>693.37727000000007</v>
      </c>
      <c r="L110" s="272">
        <v>1014.12722</v>
      </c>
      <c r="M110" s="272">
        <v>6899.8973599999999</v>
      </c>
      <c r="N110" s="272">
        <v>6724.7150000000001</v>
      </c>
      <c r="O110" s="272">
        <v>53.930959999999999</v>
      </c>
      <c r="P110" s="272">
        <v>189.74929999999998</v>
      </c>
      <c r="Q110" s="272">
        <v>70.94028999999999</v>
      </c>
      <c r="R110" s="272">
        <v>77.993259999999992</v>
      </c>
      <c r="S110" s="272">
        <v>2603.6310099999996</v>
      </c>
      <c r="U110" s="272">
        <v>1164.0248200000001</v>
      </c>
      <c r="V110" s="272">
        <v>0</v>
      </c>
      <c r="W110" s="272">
        <v>257.73750000000001</v>
      </c>
      <c r="X110" s="272">
        <v>1181.86869</v>
      </c>
      <c r="Y110" s="272">
        <v>0</v>
      </c>
      <c r="Z110" s="272">
        <v>0</v>
      </c>
      <c r="AA110" s="272">
        <v>0</v>
      </c>
      <c r="AB110" s="272">
        <v>1181.86869</v>
      </c>
      <c r="AD110" s="272">
        <v>8608.1209399999989</v>
      </c>
      <c r="AE110" s="157">
        <v>2288.7979</v>
      </c>
      <c r="AF110" s="184">
        <v>-57.095610000000001</v>
      </c>
      <c r="AG110" s="272">
        <v>-1937.7775100000001</v>
      </c>
      <c r="AH110" s="272">
        <v>0</v>
      </c>
      <c r="AI110" s="184">
        <v>564.13073999999995</v>
      </c>
      <c r="AJ110" s="272">
        <v>1808.72972</v>
      </c>
      <c r="AL110" s="272">
        <v>8303.7781500000001</v>
      </c>
      <c r="AM110" s="184">
        <v>-33.855359999999997</v>
      </c>
      <c r="AN110" s="272">
        <v>-518.48384999999996</v>
      </c>
      <c r="AO110" s="343">
        <v>3335</v>
      </c>
      <c r="AP110" s="332">
        <v>8.4</v>
      </c>
      <c r="AQ110" s="448"/>
      <c r="AS110" s="455">
        <v>3409.9096099999997</v>
      </c>
      <c r="AT110" s="272">
        <v>14839.235769999999</v>
      </c>
      <c r="AU110" s="450"/>
      <c r="AV110" s="334">
        <v>5245.4953499999992</v>
      </c>
      <c r="AW110" s="334">
        <v>606.44667000000004</v>
      </c>
      <c r="AX110" s="334">
        <v>1033.1810800000001</v>
      </c>
      <c r="AY110" s="334">
        <v>6885.1230999999998</v>
      </c>
      <c r="AZ110" s="334">
        <v>6946.0720000000001</v>
      </c>
      <c r="BA110" s="272">
        <v>52.692169999999997</v>
      </c>
      <c r="BB110" s="458">
        <v>224.51426000000001</v>
      </c>
      <c r="BC110" s="272">
        <v>45.253209999999996</v>
      </c>
      <c r="BD110" s="272">
        <v>-3.00596</v>
      </c>
      <c r="BE110" s="334">
        <v>2278.30602</v>
      </c>
      <c r="BG110" s="331">
        <v>1204.3645100000001</v>
      </c>
      <c r="BH110" s="334">
        <v>0</v>
      </c>
      <c r="BI110" s="334">
        <v>0</v>
      </c>
      <c r="BJ110" s="334">
        <v>1073.9415100000001</v>
      </c>
      <c r="BK110" s="334">
        <v>0</v>
      </c>
      <c r="BL110" s="334">
        <v>0</v>
      </c>
      <c r="BM110" s="331">
        <v>0</v>
      </c>
      <c r="BN110" s="334">
        <v>1073.9415100000001</v>
      </c>
      <c r="BP110" s="334">
        <v>9682.0624499999994</v>
      </c>
      <c r="BQ110" s="311">
        <v>2278.30602</v>
      </c>
      <c r="BR110" s="272">
        <v>0</v>
      </c>
      <c r="BS110" s="461">
        <v>-2569.1920800000003</v>
      </c>
      <c r="BT110" s="272">
        <v>17.7471</v>
      </c>
      <c r="BU110" s="272">
        <v>0.30099999999999999</v>
      </c>
      <c r="BV110" s="333">
        <v>1351.6854499999999</v>
      </c>
      <c r="BX110" s="272">
        <v>8935.7313000000013</v>
      </c>
      <c r="BY110" s="469">
        <v>-681.73006000000009</v>
      </c>
      <c r="BZ110" s="469">
        <v>631.95315000000005</v>
      </c>
      <c r="CA110" s="552"/>
      <c r="CB110" s="335">
        <v>8.3999999999999986</v>
      </c>
      <c r="CC110" s="471">
        <f t="shared" si="1"/>
        <v>8.3999999999999986</v>
      </c>
      <c r="CD110" s="560"/>
      <c r="CE110" s="272"/>
      <c r="CF110" s="262"/>
      <c r="CI110" s="158">
        <v>0</v>
      </c>
      <c r="CJ110" s="331">
        <v>6688.486168297366</v>
      </c>
      <c r="CK110" s="331">
        <v>6453.2484873409176</v>
      </c>
      <c r="CL110" s="331">
        <v>6553.5408784026658</v>
      </c>
      <c r="CM110" s="472">
        <v>6751.2475510578151</v>
      </c>
      <c r="CN110" s="472">
        <v>6822.073822850607</v>
      </c>
      <c r="CO110" s="480">
        <v>1923.3910000000001</v>
      </c>
      <c r="CP110" s="557"/>
      <c r="CQ110" s="474">
        <v>0</v>
      </c>
      <c r="CR110" s="474">
        <v>0</v>
      </c>
    </row>
    <row r="111" spans="1:96" x14ac:dyDescent="0.2">
      <c r="A111" s="154">
        <v>301</v>
      </c>
      <c r="B111" s="156" t="s">
        <v>141</v>
      </c>
      <c r="C111" s="325">
        <v>19759</v>
      </c>
      <c r="D111" s="270">
        <v>8.36</v>
      </c>
      <c r="E111" s="185"/>
      <c r="G111" s="272">
        <v>26644.273239999999</v>
      </c>
      <c r="H111" s="272">
        <v>79454.244590000002</v>
      </c>
      <c r="I111" s="272"/>
      <c r="J111" s="272">
        <v>30891.36318</v>
      </c>
      <c r="K111" s="272">
        <v>3989.7068199999999</v>
      </c>
      <c r="L111" s="272">
        <v>5317.4373700000006</v>
      </c>
      <c r="M111" s="272">
        <v>40198.507369999999</v>
      </c>
      <c r="N111" s="272">
        <v>15733.90013</v>
      </c>
      <c r="O111" s="272">
        <v>1191.0793600000002</v>
      </c>
      <c r="P111" s="272">
        <v>2411.2771499999999</v>
      </c>
      <c r="Q111" s="272">
        <v>13004.592460000002</v>
      </c>
      <c r="R111" s="272">
        <v>15.61023</v>
      </c>
      <c r="S111" s="272">
        <v>14891.220589999999</v>
      </c>
      <c r="U111" s="272">
        <v>8029.8928099999994</v>
      </c>
      <c r="V111" s="272">
        <v>0</v>
      </c>
      <c r="W111" s="272">
        <v>0</v>
      </c>
      <c r="X111" s="272">
        <v>6861.3277800000005</v>
      </c>
      <c r="Y111" s="272">
        <v>-268.85929999999996</v>
      </c>
      <c r="Z111" s="272">
        <v>0</v>
      </c>
      <c r="AA111" s="272">
        <v>0</v>
      </c>
      <c r="AB111" s="272">
        <v>7130.1870799999997</v>
      </c>
      <c r="AD111" s="272">
        <v>19662.8845</v>
      </c>
      <c r="AE111" s="157">
        <v>14420.841829999999</v>
      </c>
      <c r="AF111" s="184">
        <v>-470.37876</v>
      </c>
      <c r="AG111" s="272">
        <v>-23514.432559999997</v>
      </c>
      <c r="AH111" s="272">
        <v>559.04600000000005</v>
      </c>
      <c r="AI111" s="184">
        <v>48.771000000000001</v>
      </c>
      <c r="AJ111" s="272">
        <v>43369.751130000004</v>
      </c>
      <c r="AL111" s="272">
        <v>120589.40102</v>
      </c>
      <c r="AM111" s="184">
        <v>356.58145000000002</v>
      </c>
      <c r="AN111" s="272">
        <v>5282.0049200000003</v>
      </c>
      <c r="AO111" s="343">
        <v>19509</v>
      </c>
      <c r="AP111" s="332">
        <v>8.4</v>
      </c>
      <c r="AQ111" s="448"/>
      <c r="AS111" s="455">
        <v>28280.294879999998</v>
      </c>
      <c r="AT111" s="272">
        <v>82171.380879999997</v>
      </c>
      <c r="AU111" s="450"/>
      <c r="AV111" s="334">
        <v>31504.519700000001</v>
      </c>
      <c r="AW111" s="334">
        <v>3167.2626299999997</v>
      </c>
      <c r="AX111" s="334">
        <v>6347.4222699999991</v>
      </c>
      <c r="AY111" s="334">
        <v>41019.204600000005</v>
      </c>
      <c r="AZ111" s="334">
        <v>12061.18901</v>
      </c>
      <c r="BA111" s="272">
        <v>1105.1047599999999</v>
      </c>
      <c r="BB111" s="333">
        <v>2906.7572200000004</v>
      </c>
      <c r="BC111" s="272">
        <v>13019.93881</v>
      </c>
      <c r="BD111" s="272">
        <v>37.491250000000001</v>
      </c>
      <c r="BE111" s="334">
        <v>10370.102710000001</v>
      </c>
      <c r="BG111" s="331">
        <v>8595.2435000000005</v>
      </c>
      <c r="BH111" s="331">
        <v>0</v>
      </c>
      <c r="BI111" s="331">
        <v>0</v>
      </c>
      <c r="BJ111" s="334">
        <v>1774.8592100000001</v>
      </c>
      <c r="BK111" s="331">
        <v>-25.445880000000002</v>
      </c>
      <c r="BL111" s="331">
        <v>0</v>
      </c>
      <c r="BM111" s="331">
        <v>0</v>
      </c>
      <c r="BN111" s="334">
        <v>1800.3050900000001</v>
      </c>
      <c r="BP111" s="334">
        <v>21463.189589999998</v>
      </c>
      <c r="BQ111" s="311">
        <v>10446.458359999999</v>
      </c>
      <c r="BR111" s="272">
        <v>76.355649999999997</v>
      </c>
      <c r="BS111" s="461">
        <v>-12563.517250000001</v>
      </c>
      <c r="BT111" s="272">
        <v>56.994309999999999</v>
      </c>
      <c r="BU111" s="272">
        <v>79.207759999999993</v>
      </c>
      <c r="BV111" s="333">
        <v>45242.130060000003</v>
      </c>
      <c r="BX111" s="272">
        <v>124664.45919999998</v>
      </c>
      <c r="BY111" s="469">
        <v>320.87344999999999</v>
      </c>
      <c r="BZ111" s="469">
        <v>4075.05818</v>
      </c>
      <c r="CA111" s="552"/>
      <c r="CB111" s="335">
        <v>8.4</v>
      </c>
      <c r="CC111" s="471">
        <f t="shared" si="1"/>
        <v>8.4</v>
      </c>
      <c r="CD111" s="558"/>
      <c r="CE111" s="272"/>
      <c r="CF111" s="262"/>
      <c r="CI111" s="158">
        <v>0</v>
      </c>
      <c r="CJ111" s="331">
        <v>13965.676105110748</v>
      </c>
      <c r="CK111" s="331">
        <v>14250.133577718751</v>
      </c>
      <c r="CL111" s="331">
        <v>15577.680838524173</v>
      </c>
      <c r="CM111" s="472">
        <v>16556.456173519688</v>
      </c>
      <c r="CN111" s="472">
        <v>16970.175712306027</v>
      </c>
      <c r="CO111" s="480">
        <v>-1045.0419999999999</v>
      </c>
      <c r="CP111" s="557"/>
      <c r="CQ111" s="474">
        <v>0</v>
      </c>
      <c r="CR111" s="474">
        <v>0</v>
      </c>
    </row>
    <row r="112" spans="1:96" x14ac:dyDescent="0.2">
      <c r="A112" s="154">
        <v>304</v>
      </c>
      <c r="B112" s="156" t="s">
        <v>142</v>
      </c>
      <c r="C112" s="325">
        <v>949</v>
      </c>
      <c r="D112" s="270">
        <v>5.36</v>
      </c>
      <c r="E112" s="185"/>
      <c r="G112" s="272">
        <v>1471.7193200000002</v>
      </c>
      <c r="H112" s="272">
        <v>4219.8043399999997</v>
      </c>
      <c r="I112" s="272"/>
      <c r="J112" s="272">
        <v>1516.21533</v>
      </c>
      <c r="K112" s="272">
        <v>250.76729999999998</v>
      </c>
      <c r="L112" s="272">
        <v>1487.17669</v>
      </c>
      <c r="M112" s="272">
        <v>3254.1593199999998</v>
      </c>
      <c r="N112" s="272">
        <v>-354.49400000000003</v>
      </c>
      <c r="O112" s="272">
        <v>0</v>
      </c>
      <c r="P112" s="272">
        <v>35.321580000000004</v>
      </c>
      <c r="Q112" s="272">
        <v>2.32959</v>
      </c>
      <c r="R112" s="272">
        <v>0.87426000000000004</v>
      </c>
      <c r="S112" s="272">
        <v>117.71405</v>
      </c>
      <c r="U112" s="272">
        <v>500.53970000000004</v>
      </c>
      <c r="V112" s="272">
        <v>0</v>
      </c>
      <c r="W112" s="272">
        <v>0</v>
      </c>
      <c r="X112" s="272">
        <v>-382.82565</v>
      </c>
      <c r="Y112" s="272">
        <v>-32.214509999999997</v>
      </c>
      <c r="Z112" s="272">
        <v>0</v>
      </c>
      <c r="AA112" s="272">
        <v>-4.9936099999999994</v>
      </c>
      <c r="AB112" s="272">
        <v>-345.61753000000004</v>
      </c>
      <c r="AD112" s="272">
        <v>3439.5243399999999</v>
      </c>
      <c r="AE112" s="157">
        <v>112.60519000000001</v>
      </c>
      <c r="AF112" s="184">
        <v>-5.10886</v>
      </c>
      <c r="AG112" s="272">
        <v>-983.03231999999991</v>
      </c>
      <c r="AH112" s="272">
        <v>34.020000000000003</v>
      </c>
      <c r="AI112" s="184">
        <v>6.2539999999999996</v>
      </c>
      <c r="AJ112" s="272">
        <v>335.35285999999996</v>
      </c>
      <c r="AL112" s="272">
        <v>2492.2719999999999</v>
      </c>
      <c r="AM112" s="184">
        <v>0</v>
      </c>
      <c r="AN112" s="272">
        <v>93.396000000000001</v>
      </c>
      <c r="AO112" s="343">
        <v>970</v>
      </c>
      <c r="AP112" s="332">
        <v>5.2999999999999989</v>
      </c>
      <c r="AQ112" s="448"/>
      <c r="AS112" s="455">
        <v>1751.8647900000001</v>
      </c>
      <c r="AT112" s="272">
        <v>4344.4539400000003</v>
      </c>
      <c r="AU112" s="450"/>
      <c r="AV112" s="334">
        <v>1224.7880299999999</v>
      </c>
      <c r="AW112" s="334">
        <v>216.81529999999998</v>
      </c>
      <c r="AX112" s="334">
        <v>1838.5286999999998</v>
      </c>
      <c r="AY112" s="334">
        <v>3280.1320299999998</v>
      </c>
      <c r="AZ112" s="334">
        <v>-225.67</v>
      </c>
      <c r="BA112" s="272">
        <v>0</v>
      </c>
      <c r="BB112" s="333">
        <v>68.699770000000001</v>
      </c>
      <c r="BC112" s="272">
        <v>3.86734</v>
      </c>
      <c r="BD112" s="272">
        <v>0.58230999999999999</v>
      </c>
      <c r="BE112" s="334">
        <v>396.45814000000001</v>
      </c>
      <c r="BG112" s="331">
        <v>496.51153999999997</v>
      </c>
      <c r="BH112" s="334">
        <v>0</v>
      </c>
      <c r="BI112" s="331">
        <v>0</v>
      </c>
      <c r="BJ112" s="334">
        <v>-100.0534</v>
      </c>
      <c r="BK112" s="331">
        <v>-33.46969</v>
      </c>
      <c r="BL112" s="331">
        <v>0</v>
      </c>
      <c r="BM112" s="331">
        <v>-7.8611700000000004</v>
      </c>
      <c r="BN112" s="334">
        <v>-58.722540000000002</v>
      </c>
      <c r="BP112" s="334">
        <v>3380.8017999999997</v>
      </c>
      <c r="BQ112" s="311">
        <v>364.41197</v>
      </c>
      <c r="BR112" s="272">
        <v>-32.046169999999996</v>
      </c>
      <c r="BS112" s="461">
        <v>-2090.8128200000001</v>
      </c>
      <c r="BT112" s="272">
        <v>56.7</v>
      </c>
      <c r="BU112" s="272">
        <v>123.13073</v>
      </c>
      <c r="BV112" s="333">
        <v>3.0673499999999998</v>
      </c>
      <c r="BX112" s="272">
        <v>3558.96958</v>
      </c>
      <c r="BY112" s="469">
        <v>0</v>
      </c>
      <c r="BZ112" s="469">
        <v>1066.69758</v>
      </c>
      <c r="CA112" s="552"/>
      <c r="CB112" s="335">
        <v>5.3000000000000007</v>
      </c>
      <c r="CC112" s="471">
        <f t="shared" si="1"/>
        <v>5.3000000000000007</v>
      </c>
      <c r="CD112" s="558"/>
      <c r="CE112" s="272"/>
      <c r="CF112" s="262"/>
      <c r="CI112" s="158">
        <v>0</v>
      </c>
      <c r="CJ112" s="331">
        <v>-147.67164633180028</v>
      </c>
      <c r="CK112" s="331">
        <v>-186.08976509858562</v>
      </c>
      <c r="CL112" s="331">
        <v>-133.43764528924879</v>
      </c>
      <c r="CM112" s="472">
        <v>-119.72353272978599</v>
      </c>
      <c r="CN112" s="472">
        <v>-78.547715075669743</v>
      </c>
      <c r="CO112" s="480">
        <v>-208.85599999999999</v>
      </c>
      <c r="CP112" s="557"/>
      <c r="CQ112" s="474">
        <v>0</v>
      </c>
      <c r="CR112" s="474">
        <v>0</v>
      </c>
    </row>
    <row r="113" spans="1:96" ht="10.5" customHeight="1" x14ac:dyDescent="0.2">
      <c r="A113" s="154">
        <v>305</v>
      </c>
      <c r="B113" s="156" t="s">
        <v>143</v>
      </c>
      <c r="C113" s="325">
        <v>15019</v>
      </c>
      <c r="D113" s="270">
        <v>7.3599999999999994</v>
      </c>
      <c r="E113" s="185"/>
      <c r="G113" s="272">
        <v>15441.640380000001</v>
      </c>
      <c r="H113" s="272">
        <v>59071.748509999998</v>
      </c>
      <c r="I113" s="272"/>
      <c r="J113" s="272">
        <v>21183.307000000001</v>
      </c>
      <c r="K113" s="272">
        <v>4716.1624900000006</v>
      </c>
      <c r="L113" s="272">
        <v>8048.3065800000004</v>
      </c>
      <c r="M113" s="272">
        <v>33947.77607</v>
      </c>
      <c r="N113" s="272">
        <v>17208.199000000001</v>
      </c>
      <c r="O113" s="272">
        <v>50.582999999999998</v>
      </c>
      <c r="P113" s="272">
        <v>1160.96642</v>
      </c>
      <c r="Q113" s="272">
        <v>495.84001000000001</v>
      </c>
      <c r="R113" s="272">
        <v>-256.25700000000001</v>
      </c>
      <c r="S113" s="272">
        <v>8427.66086</v>
      </c>
      <c r="U113" s="272">
        <v>6797.5097100000003</v>
      </c>
      <c r="V113" s="272">
        <v>0</v>
      </c>
      <c r="W113" s="272">
        <v>0</v>
      </c>
      <c r="X113" s="272">
        <v>1630.1511499999999</v>
      </c>
      <c r="Y113" s="272">
        <v>0</v>
      </c>
      <c r="Z113" s="272">
        <v>0</v>
      </c>
      <c r="AA113" s="272">
        <v>-902.09758999999997</v>
      </c>
      <c r="AB113" s="272">
        <v>2532.24874</v>
      </c>
      <c r="AD113" s="272">
        <v>22513.948339999999</v>
      </c>
      <c r="AE113" s="157">
        <v>8190.8955999999998</v>
      </c>
      <c r="AF113" s="184">
        <v>-236.76526000000001</v>
      </c>
      <c r="AG113" s="272">
        <v>-23132.425210000001</v>
      </c>
      <c r="AH113" s="272">
        <v>1983.4440199999999</v>
      </c>
      <c r="AI113" s="184">
        <v>250.89760999999999</v>
      </c>
      <c r="AJ113" s="272">
        <v>19228.503690000001</v>
      </c>
      <c r="AL113" s="272">
        <v>64889.787819999998</v>
      </c>
      <c r="AM113" s="184">
        <v>-2114.9591299999997</v>
      </c>
      <c r="AN113" s="272">
        <v>22530.469860000001</v>
      </c>
      <c r="AO113" s="343">
        <v>14876</v>
      </c>
      <c r="AP113" s="332">
        <v>7.4000000000000012</v>
      </c>
      <c r="AQ113" s="448"/>
      <c r="AS113" s="455">
        <v>17675.433280000001</v>
      </c>
      <c r="AT113" s="272">
        <v>59810.376649999998</v>
      </c>
      <c r="AU113" s="450"/>
      <c r="AV113" s="334">
        <v>21530.652999999998</v>
      </c>
      <c r="AW113" s="334">
        <v>4648.1615000000002</v>
      </c>
      <c r="AX113" s="334">
        <v>8259.2971699999998</v>
      </c>
      <c r="AY113" s="334">
        <v>34438.111669999998</v>
      </c>
      <c r="AZ113" s="334">
        <v>14827.459000000001</v>
      </c>
      <c r="BA113" s="272">
        <v>116.82299</v>
      </c>
      <c r="BB113" s="333">
        <v>1686.2912799999999</v>
      </c>
      <c r="BC113" s="272">
        <v>747.97450000000003</v>
      </c>
      <c r="BD113" s="272">
        <v>96.921130000000005</v>
      </c>
      <c r="BE113" s="334">
        <v>7459.2112200000001</v>
      </c>
      <c r="BG113" s="331">
        <v>8792.4771000000001</v>
      </c>
      <c r="BH113" s="331">
        <v>0</v>
      </c>
      <c r="BI113" s="331">
        <v>0</v>
      </c>
      <c r="BJ113" s="334">
        <v>-1333.2658799999999</v>
      </c>
      <c r="BK113" s="334">
        <v>0</v>
      </c>
      <c r="BL113" s="331">
        <v>0</v>
      </c>
      <c r="BM113" s="331">
        <v>-756.64085</v>
      </c>
      <c r="BN113" s="334">
        <v>-576.62503000000004</v>
      </c>
      <c r="BP113" s="334">
        <v>21937.32331</v>
      </c>
      <c r="BQ113" s="311">
        <v>5856.8731100000005</v>
      </c>
      <c r="BR113" s="272">
        <v>-1602.3381100000001</v>
      </c>
      <c r="BS113" s="461">
        <v>-16178.80817</v>
      </c>
      <c r="BT113" s="272">
        <v>2915.12093</v>
      </c>
      <c r="BU113" s="272">
        <v>10293.670689999999</v>
      </c>
      <c r="BV113" s="333">
        <v>24398.615149999998</v>
      </c>
      <c r="BX113" s="272">
        <v>69411.744510000004</v>
      </c>
      <c r="BY113" s="469">
        <v>-576.79698999999994</v>
      </c>
      <c r="BZ113" s="469">
        <v>4521.95669</v>
      </c>
      <c r="CA113" s="552"/>
      <c r="CB113" s="335">
        <v>8.6</v>
      </c>
      <c r="CC113" s="471">
        <f t="shared" si="1"/>
        <v>8.6</v>
      </c>
      <c r="CD113" s="558"/>
      <c r="CE113" s="272"/>
      <c r="CF113" s="262"/>
      <c r="CI113" s="158">
        <v>0</v>
      </c>
      <c r="CJ113" s="331">
        <v>16053.893370996342</v>
      </c>
      <c r="CK113" s="331">
        <v>15123.611833662801</v>
      </c>
      <c r="CL113" s="331">
        <v>12195.361734427752</v>
      </c>
      <c r="CM113" s="472">
        <v>13500.352406382543</v>
      </c>
      <c r="CN113" s="472">
        <v>13654.636514990876</v>
      </c>
      <c r="CO113" s="480">
        <v>-171.84899999999999</v>
      </c>
      <c r="CP113" s="557"/>
      <c r="CQ113" s="474">
        <v>1260.08033</v>
      </c>
      <c r="CR113" s="474">
        <v>1246.99884</v>
      </c>
    </row>
    <row r="114" spans="1:96" x14ac:dyDescent="0.2">
      <c r="A114" s="154">
        <v>312</v>
      </c>
      <c r="B114" s="156" t="s">
        <v>144</v>
      </c>
      <c r="C114" s="325">
        <v>1174</v>
      </c>
      <c r="D114" s="270">
        <v>9.86</v>
      </c>
      <c r="E114" s="185"/>
      <c r="G114" s="272">
        <v>1313.60357</v>
      </c>
      <c r="H114" s="272">
        <v>4840.4757399999999</v>
      </c>
      <c r="I114" s="272"/>
      <c r="J114" s="272">
        <v>1972.6933000000001</v>
      </c>
      <c r="K114" s="272">
        <v>804.22262999999998</v>
      </c>
      <c r="L114" s="272">
        <v>518.95776999999998</v>
      </c>
      <c r="M114" s="272">
        <v>3295.8737000000001</v>
      </c>
      <c r="N114" s="272">
        <v>985.46</v>
      </c>
      <c r="O114" s="272">
        <v>0.96625000000000005</v>
      </c>
      <c r="P114" s="272">
        <v>348.80708000000004</v>
      </c>
      <c r="Q114" s="272">
        <v>334.10899000000001</v>
      </c>
      <c r="R114" s="272">
        <v>14.763069999999999</v>
      </c>
      <c r="S114" s="272">
        <v>725.96662000000003</v>
      </c>
      <c r="U114" s="272">
        <v>514.60744999999997</v>
      </c>
      <c r="V114" s="272">
        <v>0.94</v>
      </c>
      <c r="W114" s="272">
        <v>18.370429999999999</v>
      </c>
      <c r="X114" s="272">
        <v>193.92874</v>
      </c>
      <c r="Y114" s="272">
        <v>0</v>
      </c>
      <c r="Z114" s="272">
        <v>0</v>
      </c>
      <c r="AA114" s="272">
        <v>0</v>
      </c>
      <c r="AB114" s="272">
        <v>193.92874</v>
      </c>
      <c r="AD114" s="272">
        <v>-2860.3790800000002</v>
      </c>
      <c r="AE114" s="157">
        <v>708</v>
      </c>
      <c r="AF114" s="184">
        <v>-1</v>
      </c>
      <c r="AG114" s="272">
        <v>-269</v>
      </c>
      <c r="AH114" s="272">
        <v>0</v>
      </c>
      <c r="AI114" s="184">
        <v>264</v>
      </c>
      <c r="AJ114" s="272">
        <v>6614</v>
      </c>
      <c r="AL114" s="272">
        <v>10200</v>
      </c>
      <c r="AM114" s="184">
        <v>36</v>
      </c>
      <c r="AN114" s="272">
        <v>-500</v>
      </c>
      <c r="AO114" s="343">
        <v>1155</v>
      </c>
      <c r="AP114" s="332">
        <v>9.9</v>
      </c>
      <c r="AQ114" s="448"/>
      <c r="AS114" s="455">
        <v>1365.6984199999999</v>
      </c>
      <c r="AT114" s="272">
        <v>4740.9483399999999</v>
      </c>
      <c r="AU114" s="450"/>
      <c r="AV114" s="334">
        <v>1848.6383600000001</v>
      </c>
      <c r="AW114" s="334">
        <v>639.78734999999995</v>
      </c>
      <c r="AX114" s="334">
        <v>945.35203000000001</v>
      </c>
      <c r="AY114" s="334">
        <v>3433.7777400000004</v>
      </c>
      <c r="AZ114" s="334">
        <v>614.202</v>
      </c>
      <c r="BA114" s="272">
        <v>4.2736400000000003</v>
      </c>
      <c r="BB114" s="333">
        <v>386.31016999999997</v>
      </c>
      <c r="BC114" s="272">
        <v>1085.61167</v>
      </c>
      <c r="BD114" s="272">
        <v>-7.7804099999999998</v>
      </c>
      <c r="BE114" s="334">
        <v>1384.08537</v>
      </c>
      <c r="BG114" s="331">
        <v>391.09853000000004</v>
      </c>
      <c r="BH114" s="331">
        <v>0</v>
      </c>
      <c r="BI114" s="331">
        <v>0</v>
      </c>
      <c r="BJ114" s="334">
        <v>992.98683999999992</v>
      </c>
      <c r="BK114" s="331">
        <v>0</v>
      </c>
      <c r="BL114" s="331">
        <v>0</v>
      </c>
      <c r="BM114" s="331">
        <v>0</v>
      </c>
      <c r="BN114" s="334">
        <v>992.98683999999992</v>
      </c>
      <c r="BP114" s="334">
        <v>-1867.4173600000004</v>
      </c>
      <c r="BQ114" s="311">
        <v>1347.2713600000002</v>
      </c>
      <c r="BR114" s="272">
        <v>-36.814010000000003</v>
      </c>
      <c r="BS114" s="461">
        <v>-213.37950000000001</v>
      </c>
      <c r="BT114" s="272">
        <v>0</v>
      </c>
      <c r="BU114" s="272">
        <v>54.9039</v>
      </c>
      <c r="BV114" s="333">
        <v>7316.3619100000005</v>
      </c>
      <c r="BX114" s="272">
        <v>9700</v>
      </c>
      <c r="BY114" s="469">
        <v>81.093789999999998</v>
      </c>
      <c r="BZ114" s="469">
        <v>-500</v>
      </c>
      <c r="CA114" s="552"/>
      <c r="CB114" s="335">
        <v>9.9</v>
      </c>
      <c r="CC114" s="471">
        <f t="shared" si="1"/>
        <v>9.9</v>
      </c>
      <c r="CD114" s="558"/>
      <c r="CE114" s="272"/>
      <c r="CF114" s="262"/>
      <c r="CI114" s="158">
        <v>0</v>
      </c>
      <c r="CJ114" s="331">
        <v>922.80690586348601</v>
      </c>
      <c r="CK114" s="331">
        <v>1017.3328283322603</v>
      </c>
      <c r="CL114" s="331">
        <v>1143.0411481536264</v>
      </c>
      <c r="CM114" s="472">
        <v>1124.0719058627328</v>
      </c>
      <c r="CN114" s="472">
        <v>1101.5887988913119</v>
      </c>
      <c r="CO114" s="480">
        <v>-345.827</v>
      </c>
      <c r="CP114" s="557"/>
      <c r="CQ114" s="474">
        <v>0</v>
      </c>
      <c r="CR114" s="474">
        <v>0</v>
      </c>
    </row>
    <row r="115" spans="1:96" x14ac:dyDescent="0.2">
      <c r="A115" s="154">
        <v>316</v>
      </c>
      <c r="B115" s="156" t="s">
        <v>145</v>
      </c>
      <c r="C115" s="325">
        <v>4114</v>
      </c>
      <c r="D115" s="270">
        <v>9.36</v>
      </c>
      <c r="E115" s="185"/>
      <c r="G115" s="272">
        <v>2900.6849500000003</v>
      </c>
      <c r="H115" s="272">
        <v>13132.86773</v>
      </c>
      <c r="I115" s="272"/>
      <c r="J115" s="272">
        <v>8035.1207400000003</v>
      </c>
      <c r="K115" s="272">
        <v>1304.0350900000001</v>
      </c>
      <c r="L115" s="272">
        <v>1273.5459599999999</v>
      </c>
      <c r="M115" s="272">
        <v>10612.701789999999</v>
      </c>
      <c r="N115" s="272">
        <v>1641.6220000000001</v>
      </c>
      <c r="O115" s="272">
        <v>26.699200000000001</v>
      </c>
      <c r="P115" s="272">
        <v>501.28321</v>
      </c>
      <c r="Q115" s="272">
        <v>83.432429999999997</v>
      </c>
      <c r="R115" s="272">
        <v>-0.41005999999999998</v>
      </c>
      <c r="S115" s="272">
        <v>1631.39949</v>
      </c>
      <c r="U115" s="272">
        <v>1461.5141599999999</v>
      </c>
      <c r="V115" s="272">
        <v>0</v>
      </c>
      <c r="W115" s="272">
        <v>0</v>
      </c>
      <c r="X115" s="272">
        <v>169.88532999999998</v>
      </c>
      <c r="Y115" s="272">
        <v>0</v>
      </c>
      <c r="Z115" s="272">
        <v>0</v>
      </c>
      <c r="AA115" s="272">
        <v>0</v>
      </c>
      <c r="AB115" s="272">
        <v>169.88532999999998</v>
      </c>
      <c r="AD115" s="272">
        <v>7299.8418700000002</v>
      </c>
      <c r="AE115" s="157">
        <v>1602.1170099999999</v>
      </c>
      <c r="AF115" s="184">
        <v>-29.28248</v>
      </c>
      <c r="AG115" s="272">
        <v>-3735.6772999999998</v>
      </c>
      <c r="AH115" s="272">
        <v>0</v>
      </c>
      <c r="AI115" s="184">
        <v>1246.65578</v>
      </c>
      <c r="AJ115" s="272">
        <v>1897.1977199999999</v>
      </c>
      <c r="AL115" s="272">
        <v>21999.205999999998</v>
      </c>
      <c r="AM115" s="184">
        <v>74</v>
      </c>
      <c r="AN115" s="272">
        <v>350.077</v>
      </c>
      <c r="AO115" s="343">
        <v>4093</v>
      </c>
      <c r="AP115" s="332">
        <v>9.4</v>
      </c>
      <c r="AQ115" s="448"/>
      <c r="AS115" s="455">
        <v>3422.1307700000002</v>
      </c>
      <c r="AT115" s="272">
        <v>13392.188920000001</v>
      </c>
      <c r="AU115" s="450"/>
      <c r="AV115" s="334">
        <v>7761.9666299999999</v>
      </c>
      <c r="AW115" s="334">
        <v>2055.2405400000002</v>
      </c>
      <c r="AX115" s="334">
        <v>1325.2494299999998</v>
      </c>
      <c r="AY115" s="334">
        <v>11142.4566</v>
      </c>
      <c r="AZ115" s="334">
        <v>1222.174</v>
      </c>
      <c r="BA115" s="272">
        <v>92.985500000000002</v>
      </c>
      <c r="BB115" s="333">
        <v>615.30835999999999</v>
      </c>
      <c r="BC115" s="272">
        <v>77.602559999999997</v>
      </c>
      <c r="BD115" s="272">
        <v>2448.02927</v>
      </c>
      <c r="BE115" s="334">
        <v>-498.17712</v>
      </c>
      <c r="BG115" s="331">
        <v>1669.5904499999999</v>
      </c>
      <c r="BH115" s="331">
        <v>0</v>
      </c>
      <c r="BI115" s="331">
        <v>0</v>
      </c>
      <c r="BJ115" s="334">
        <v>-2167.76757</v>
      </c>
      <c r="BK115" s="331">
        <v>0</v>
      </c>
      <c r="BL115" s="331">
        <v>0</v>
      </c>
      <c r="BM115" s="331">
        <v>0</v>
      </c>
      <c r="BN115" s="334">
        <v>-2167.76757</v>
      </c>
      <c r="BP115" s="334">
        <v>5132.0743000000011</v>
      </c>
      <c r="BQ115" s="311">
        <v>1922.0036399999999</v>
      </c>
      <c r="BR115" s="272">
        <v>2420.1807599999997</v>
      </c>
      <c r="BS115" s="461">
        <v>-3212.9123</v>
      </c>
      <c r="BT115" s="272">
        <v>198.2432</v>
      </c>
      <c r="BU115" s="272">
        <v>26.024000000000001</v>
      </c>
      <c r="BV115" s="333">
        <v>606.18381000000011</v>
      </c>
      <c r="BX115" s="272">
        <v>22614.282999999999</v>
      </c>
      <c r="BY115" s="469">
        <v>74</v>
      </c>
      <c r="BZ115" s="469">
        <v>615.077</v>
      </c>
      <c r="CA115" s="552"/>
      <c r="CB115" s="335">
        <v>9.4</v>
      </c>
      <c r="CC115" s="471">
        <f t="shared" si="1"/>
        <v>9.4</v>
      </c>
      <c r="CD115" s="558"/>
      <c r="CE115" s="272"/>
      <c r="CF115" s="262"/>
      <c r="CI115" s="158">
        <v>0</v>
      </c>
      <c r="CJ115" s="331">
        <v>1054.1855070935439</v>
      </c>
      <c r="CK115" s="331">
        <v>465.59197568878233</v>
      </c>
      <c r="CL115" s="331">
        <v>1416.6975573634327</v>
      </c>
      <c r="CM115" s="472">
        <v>1620.9711820136754</v>
      </c>
      <c r="CN115" s="472">
        <v>1689.5169127385748</v>
      </c>
      <c r="CO115" s="480">
        <v>-736.74300000000005</v>
      </c>
      <c r="CP115" s="557"/>
      <c r="CQ115" s="474">
        <v>0</v>
      </c>
      <c r="CR115" s="474">
        <v>0</v>
      </c>
    </row>
    <row r="116" spans="1:96" x14ac:dyDescent="0.2">
      <c r="A116" s="154">
        <v>317</v>
      </c>
      <c r="B116" s="156" t="s">
        <v>146</v>
      </c>
      <c r="C116" s="325">
        <v>2440</v>
      </c>
      <c r="D116" s="270">
        <v>8.86</v>
      </c>
      <c r="E116" s="185"/>
      <c r="G116" s="272">
        <v>1337.3519699999999</v>
      </c>
      <c r="H116" s="272">
        <v>9809.9345499999999</v>
      </c>
      <c r="I116" s="272"/>
      <c r="J116" s="272">
        <v>2940.0195199999998</v>
      </c>
      <c r="K116" s="272">
        <v>822.35625000000005</v>
      </c>
      <c r="L116" s="272">
        <v>668.83642000000009</v>
      </c>
      <c r="M116" s="272">
        <v>4431.2121900000002</v>
      </c>
      <c r="N116" s="272">
        <v>5153.3050000000003</v>
      </c>
      <c r="O116" s="272">
        <v>43.747579999999999</v>
      </c>
      <c r="P116" s="272">
        <v>249.90701999999999</v>
      </c>
      <c r="Q116" s="272">
        <v>647.63548000000003</v>
      </c>
      <c r="R116" s="272">
        <v>116.56564999999999</v>
      </c>
      <c r="S116" s="272">
        <v>1436.845</v>
      </c>
      <c r="U116" s="272">
        <v>908.9789300000001</v>
      </c>
      <c r="V116" s="272">
        <v>0</v>
      </c>
      <c r="W116" s="272">
        <v>0</v>
      </c>
      <c r="X116" s="272">
        <v>527.86606999999992</v>
      </c>
      <c r="Y116" s="272">
        <v>0</v>
      </c>
      <c r="Z116" s="272">
        <v>-42.271080000000005</v>
      </c>
      <c r="AA116" s="272">
        <v>0</v>
      </c>
      <c r="AB116" s="272">
        <v>570.13715000000002</v>
      </c>
      <c r="AD116" s="272">
        <v>10714.300590000001</v>
      </c>
      <c r="AE116" s="157">
        <v>1436.845</v>
      </c>
      <c r="AF116" s="184">
        <v>0</v>
      </c>
      <c r="AG116" s="272">
        <v>-639.36097999999993</v>
      </c>
      <c r="AH116" s="272">
        <v>28.513999999999999</v>
      </c>
      <c r="AI116" s="184">
        <v>2.7229999999999999</v>
      </c>
      <c r="AJ116" s="272">
        <v>10259.793539999999</v>
      </c>
      <c r="AL116" s="272">
        <v>9343.6367100000007</v>
      </c>
      <c r="AM116" s="184">
        <v>14.4</v>
      </c>
      <c r="AN116" s="272">
        <v>-53.199289999999998</v>
      </c>
      <c r="AO116" s="343">
        <v>2373</v>
      </c>
      <c r="AP116" s="332">
        <v>9.5</v>
      </c>
      <c r="AQ116" s="448"/>
      <c r="AS116" s="455">
        <v>1425.7946399999998</v>
      </c>
      <c r="AT116" s="272">
        <v>10036.321679999999</v>
      </c>
      <c r="AU116" s="450"/>
      <c r="AV116" s="334">
        <v>3530.0626600000001</v>
      </c>
      <c r="AW116" s="334">
        <v>614.60855000000004</v>
      </c>
      <c r="AX116" s="334">
        <v>761.33977000000004</v>
      </c>
      <c r="AY116" s="334">
        <v>4906.01098</v>
      </c>
      <c r="AZ116" s="334">
        <v>4624.2619999999997</v>
      </c>
      <c r="BA116" s="272">
        <v>21.030259999999998</v>
      </c>
      <c r="BB116" s="333">
        <v>303.23163</v>
      </c>
      <c r="BC116" s="272">
        <v>400.05915000000005</v>
      </c>
      <c r="BD116" s="272">
        <v>4.4096099999999998</v>
      </c>
      <c r="BE116" s="334">
        <v>1094.9086599999998</v>
      </c>
      <c r="BG116" s="331">
        <v>810.20319999999992</v>
      </c>
      <c r="BH116" s="331">
        <v>0</v>
      </c>
      <c r="BI116" s="331">
        <v>0</v>
      </c>
      <c r="BJ116" s="334">
        <v>284.70546000000002</v>
      </c>
      <c r="BK116" s="331">
        <v>0</v>
      </c>
      <c r="BL116" s="331">
        <v>-42.271080000000005</v>
      </c>
      <c r="BM116" s="331">
        <v>0</v>
      </c>
      <c r="BN116" s="334">
        <v>326.97654</v>
      </c>
      <c r="BP116" s="334">
        <v>11041.277129999999</v>
      </c>
      <c r="BQ116" s="311">
        <v>1091.33591</v>
      </c>
      <c r="BR116" s="272">
        <v>-3.5727500000000001</v>
      </c>
      <c r="BS116" s="461">
        <v>-557.82785000000001</v>
      </c>
      <c r="BT116" s="272">
        <v>162.22476</v>
      </c>
      <c r="BU116" s="272">
        <v>3.9550000000000001</v>
      </c>
      <c r="BV116" s="333">
        <v>10538.149029999999</v>
      </c>
      <c r="BX116" s="272">
        <v>9219.6839999999993</v>
      </c>
      <c r="BY116" s="469">
        <v>-185.6</v>
      </c>
      <c r="BZ116" s="469">
        <v>-123.95271000000001</v>
      </c>
      <c r="CA116" s="552"/>
      <c r="CB116" s="335">
        <v>9.5</v>
      </c>
      <c r="CC116" s="471">
        <f t="shared" si="1"/>
        <v>9.5</v>
      </c>
      <c r="CD116" s="558"/>
      <c r="CE116" s="272"/>
      <c r="CF116" s="262"/>
      <c r="CG116" s="260"/>
      <c r="CI116" s="158">
        <v>0</v>
      </c>
      <c r="CJ116" s="331">
        <v>4966.3761281965408</v>
      </c>
      <c r="CK116" s="331">
        <v>4965.6566393434468</v>
      </c>
      <c r="CL116" s="331">
        <v>4913.1310280942507</v>
      </c>
      <c r="CM116" s="472">
        <v>5069.5665834859492</v>
      </c>
      <c r="CN116" s="472">
        <v>5185.5850348058484</v>
      </c>
      <c r="CO116" s="480">
        <v>161.977</v>
      </c>
      <c r="CP116" s="557"/>
      <c r="CQ116" s="474">
        <v>0</v>
      </c>
      <c r="CR116" s="474">
        <v>61.714550000000003</v>
      </c>
    </row>
    <row r="117" spans="1:96" x14ac:dyDescent="0.2">
      <c r="A117" s="154">
        <v>398</v>
      </c>
      <c r="B117" s="156" t="s">
        <v>147</v>
      </c>
      <c r="C117" s="325">
        <v>120693</v>
      </c>
      <c r="D117" s="270">
        <v>8.11</v>
      </c>
      <c r="E117" s="185"/>
      <c r="G117" s="272">
        <v>109215.71034999999</v>
      </c>
      <c r="H117" s="272">
        <v>412513.14038999996</v>
      </c>
      <c r="I117" s="272"/>
      <c r="J117" s="272">
        <v>225383.37432</v>
      </c>
      <c r="K117" s="272">
        <v>32652.219390000002</v>
      </c>
      <c r="L117" s="272">
        <v>46807.072039999999</v>
      </c>
      <c r="M117" s="272">
        <v>304842.66574999999</v>
      </c>
      <c r="N117" s="272">
        <v>90872.395999999993</v>
      </c>
      <c r="O117" s="272">
        <v>19024.028910000001</v>
      </c>
      <c r="P117" s="272">
        <v>19530.50405</v>
      </c>
      <c r="Q117" s="272">
        <v>4916.6353200000003</v>
      </c>
      <c r="R117" s="272">
        <v>3365.8980899999997</v>
      </c>
      <c r="S117" s="272">
        <v>94763.924809999997</v>
      </c>
      <c r="U117" s="272">
        <v>53503.277670000003</v>
      </c>
      <c r="V117" s="272">
        <v>0</v>
      </c>
      <c r="W117" s="272">
        <v>0</v>
      </c>
      <c r="X117" s="272">
        <v>41260.647140000001</v>
      </c>
      <c r="Y117" s="272">
        <v>9597.0352899999998</v>
      </c>
      <c r="Z117" s="272">
        <v>-10000</v>
      </c>
      <c r="AA117" s="272">
        <v>259.11318999999997</v>
      </c>
      <c r="AB117" s="272">
        <v>41404.498659999997</v>
      </c>
      <c r="AD117" s="272">
        <v>254764.52600999997</v>
      </c>
      <c r="AE117" s="157">
        <v>73861.798269999999</v>
      </c>
      <c r="AF117" s="184">
        <v>-20902.126539999997</v>
      </c>
      <c r="AG117" s="272">
        <v>-81671.45362</v>
      </c>
      <c r="AH117" s="272">
        <v>671.33371</v>
      </c>
      <c r="AI117" s="184">
        <v>38206.266939999994</v>
      </c>
      <c r="AJ117" s="272">
        <v>266352.32338999998</v>
      </c>
      <c r="AL117" s="272">
        <v>744244.21542999998</v>
      </c>
      <c r="AM117" s="184">
        <v>35221.227789999997</v>
      </c>
      <c r="AN117" s="272">
        <v>-69302.957430000009</v>
      </c>
      <c r="AO117" s="343">
        <v>121337</v>
      </c>
      <c r="AP117" s="332">
        <v>8.1</v>
      </c>
      <c r="AQ117" s="448"/>
      <c r="AS117" s="455">
        <v>93803.895430000004</v>
      </c>
      <c r="AT117" s="272">
        <v>416518.65346</v>
      </c>
      <c r="AU117" s="450"/>
      <c r="AV117" s="334">
        <v>214003.50505000001</v>
      </c>
      <c r="AW117" s="334">
        <v>26539.284809999997</v>
      </c>
      <c r="AX117" s="334">
        <v>47728.041069999999</v>
      </c>
      <c r="AY117" s="334">
        <v>288270.83093</v>
      </c>
      <c r="AZ117" s="334">
        <v>77170.654999999999</v>
      </c>
      <c r="BA117" s="272">
        <v>18668.800579999999</v>
      </c>
      <c r="BB117" s="333">
        <v>20972.548480000001</v>
      </c>
      <c r="BC117" s="272">
        <v>4952.4872400000004</v>
      </c>
      <c r="BD117" s="272">
        <v>271.59742</v>
      </c>
      <c r="BE117" s="334">
        <v>46434.530840000007</v>
      </c>
      <c r="BG117" s="331">
        <v>56185.73315</v>
      </c>
      <c r="BH117" s="331">
        <v>0</v>
      </c>
      <c r="BI117" s="331">
        <v>0</v>
      </c>
      <c r="BJ117" s="334">
        <v>-9751.2023100000006</v>
      </c>
      <c r="BK117" s="331">
        <v>-736.75358999999992</v>
      </c>
      <c r="BL117" s="331">
        <v>0</v>
      </c>
      <c r="BM117" s="331">
        <v>-83.311199999999999</v>
      </c>
      <c r="BN117" s="334">
        <v>-8931.1375200000002</v>
      </c>
      <c r="BP117" s="334">
        <v>245780.79951999997</v>
      </c>
      <c r="BQ117" s="311">
        <v>41235.11649</v>
      </c>
      <c r="BR117" s="272">
        <v>-5199.41435</v>
      </c>
      <c r="BS117" s="461">
        <v>-63307.182719999997</v>
      </c>
      <c r="BT117" s="272">
        <v>1502.88023</v>
      </c>
      <c r="BU117" s="272">
        <v>5905.8741900000005</v>
      </c>
      <c r="BV117" s="333">
        <v>219971.59497000003</v>
      </c>
      <c r="BX117" s="272">
        <v>670153.99615000002</v>
      </c>
      <c r="BY117" s="469">
        <v>72876.386579999991</v>
      </c>
      <c r="BZ117" s="469">
        <v>-74090.219280000005</v>
      </c>
      <c r="CA117" s="552"/>
      <c r="CB117" s="335">
        <v>8.1</v>
      </c>
      <c r="CC117" s="471">
        <f t="shared" si="1"/>
        <v>8.1</v>
      </c>
      <c r="CD117" s="558"/>
      <c r="CE117" s="272"/>
      <c r="CF117" s="262"/>
      <c r="CI117" s="158">
        <v>0</v>
      </c>
      <c r="CJ117" s="331">
        <v>89213.575094524058</v>
      </c>
      <c r="CK117" s="331">
        <v>90582.976082240028</v>
      </c>
      <c r="CL117" s="331">
        <v>96305.738936380032</v>
      </c>
      <c r="CM117" s="472">
        <v>103051.54424621272</v>
      </c>
      <c r="CN117" s="472">
        <v>105576.88506512457</v>
      </c>
      <c r="CO117" s="480">
        <v>491.50700000000001</v>
      </c>
      <c r="CP117" s="557"/>
      <c r="CQ117" s="474">
        <v>1302.0310099999999</v>
      </c>
      <c r="CR117" s="474">
        <v>1330.66102</v>
      </c>
    </row>
    <row r="118" spans="1:96" x14ac:dyDescent="0.2">
      <c r="A118" s="154">
        <v>399</v>
      </c>
      <c r="B118" s="156" t="s">
        <v>148</v>
      </c>
      <c r="C118" s="325">
        <v>7682</v>
      </c>
      <c r="D118" s="270">
        <v>9.11</v>
      </c>
      <c r="E118" s="185"/>
      <c r="G118" s="272">
        <v>4187.0132899999999</v>
      </c>
      <c r="H118" s="272">
        <v>25318.403569999999</v>
      </c>
      <c r="I118" s="272"/>
      <c r="J118" s="272">
        <v>16390.120029999998</v>
      </c>
      <c r="K118" s="272">
        <v>1080.31134</v>
      </c>
      <c r="L118" s="272">
        <v>1441.36994</v>
      </c>
      <c r="M118" s="272">
        <v>18911.801309999999</v>
      </c>
      <c r="N118" s="272">
        <v>5678.6629999999996</v>
      </c>
      <c r="O118" s="272">
        <v>68.570399999999992</v>
      </c>
      <c r="P118" s="272">
        <v>723.72504000000004</v>
      </c>
      <c r="Q118" s="272">
        <v>100.22707000000001</v>
      </c>
      <c r="R118" s="272">
        <v>5.4749999999999996</v>
      </c>
      <c r="S118" s="272">
        <v>2898.67146</v>
      </c>
      <c r="U118" s="272">
        <v>2192.1395699999998</v>
      </c>
      <c r="V118" s="272">
        <v>0</v>
      </c>
      <c r="W118" s="272">
        <v>0</v>
      </c>
      <c r="X118" s="272">
        <v>706.53188999999998</v>
      </c>
      <c r="Y118" s="272">
        <v>0</v>
      </c>
      <c r="Z118" s="272">
        <v>0</v>
      </c>
      <c r="AA118" s="272">
        <v>0</v>
      </c>
      <c r="AB118" s="272">
        <v>706.53188999999998</v>
      </c>
      <c r="AD118" s="272">
        <v>2386.41246</v>
      </c>
      <c r="AE118" s="157">
        <v>2898.67146</v>
      </c>
      <c r="AF118" s="184">
        <v>0</v>
      </c>
      <c r="AG118" s="272">
        <v>-1787.8661200000001</v>
      </c>
      <c r="AH118" s="272">
        <v>50.738</v>
      </c>
      <c r="AI118" s="184">
        <v>0</v>
      </c>
      <c r="AJ118" s="272">
        <v>917.91757999999993</v>
      </c>
      <c r="AL118" s="272">
        <v>27391.675159999999</v>
      </c>
      <c r="AM118" s="184">
        <v>67.697679999999991</v>
      </c>
      <c r="AN118" s="272">
        <v>246.64864</v>
      </c>
      <c r="AO118" s="343">
        <v>7656</v>
      </c>
      <c r="AP118" s="332">
        <v>9.6</v>
      </c>
      <c r="AQ118" s="448"/>
      <c r="AS118" s="455">
        <v>3931.2938399999998</v>
      </c>
      <c r="AT118" s="272">
        <v>25562.413199999999</v>
      </c>
      <c r="AU118" s="450"/>
      <c r="AV118" s="334">
        <v>16417.97609</v>
      </c>
      <c r="AW118" s="334">
        <v>979.03591000000006</v>
      </c>
      <c r="AX118" s="334">
        <v>1508.01683</v>
      </c>
      <c r="AY118" s="334">
        <v>18896.328829999999</v>
      </c>
      <c r="AZ118" s="334">
        <v>4333.8620000000001</v>
      </c>
      <c r="BA118" s="272">
        <v>13.493510000000001</v>
      </c>
      <c r="BB118" s="333">
        <v>936.22793999999999</v>
      </c>
      <c r="BC118" s="272">
        <v>71.43853</v>
      </c>
      <c r="BD118" s="272">
        <v>8.6394900000000003</v>
      </c>
      <c r="BE118" s="334">
        <v>739.13607999999999</v>
      </c>
      <c r="BG118" s="331">
        <v>2994.4581400000002</v>
      </c>
      <c r="BH118" s="331">
        <v>0</v>
      </c>
      <c r="BI118" s="331">
        <v>0</v>
      </c>
      <c r="BJ118" s="334">
        <v>-2255.32206</v>
      </c>
      <c r="BK118" s="334">
        <v>0</v>
      </c>
      <c r="BL118" s="331">
        <v>0</v>
      </c>
      <c r="BM118" s="334">
        <v>0</v>
      </c>
      <c r="BN118" s="334">
        <v>-2255.32206</v>
      </c>
      <c r="BP118" s="334">
        <v>131.0903999999999</v>
      </c>
      <c r="BQ118" s="311">
        <v>612.26793999999995</v>
      </c>
      <c r="BR118" s="272">
        <v>-12.10956</v>
      </c>
      <c r="BS118" s="461">
        <v>-1893.7358899999999</v>
      </c>
      <c r="BT118" s="272">
        <v>0</v>
      </c>
      <c r="BU118" s="272">
        <v>71.2256</v>
      </c>
      <c r="BV118" s="333">
        <v>1577.7065700000001</v>
      </c>
      <c r="BX118" s="272">
        <v>29075.515329999998</v>
      </c>
      <c r="BY118" s="469">
        <v>-6.4813999999999998</v>
      </c>
      <c r="BZ118" s="469">
        <v>1683.8401699999999</v>
      </c>
      <c r="CA118" s="552"/>
      <c r="CB118" s="335">
        <v>9.6</v>
      </c>
      <c r="CC118" s="471">
        <f t="shared" si="1"/>
        <v>9.6</v>
      </c>
      <c r="CD118" s="558"/>
      <c r="CE118" s="272"/>
      <c r="CF118" s="262"/>
      <c r="CI118" s="158">
        <v>0</v>
      </c>
      <c r="CJ118" s="331">
        <v>4734.1219706273369</v>
      </c>
      <c r="CK118" s="331">
        <v>4358.5205366440468</v>
      </c>
      <c r="CL118" s="331">
        <v>5301.3223427428211</v>
      </c>
      <c r="CM118" s="472">
        <v>5264.443442201904</v>
      </c>
      <c r="CN118" s="472">
        <v>5180.917194341102</v>
      </c>
      <c r="CO118" s="480">
        <v>-189.10900000000001</v>
      </c>
      <c r="CP118" s="557"/>
      <c r="CQ118" s="474">
        <v>0</v>
      </c>
      <c r="CR118" s="474">
        <v>0</v>
      </c>
    </row>
    <row r="119" spans="1:96" x14ac:dyDescent="0.2">
      <c r="A119" s="154">
        <v>400</v>
      </c>
      <c r="B119" s="156" t="s">
        <v>149</v>
      </c>
      <c r="C119" s="325">
        <v>8441</v>
      </c>
      <c r="D119" s="270">
        <v>8.11</v>
      </c>
      <c r="E119" s="185"/>
      <c r="G119" s="272">
        <v>9356.4734600000011</v>
      </c>
      <c r="H119" s="272">
        <v>33312.962719999996</v>
      </c>
      <c r="I119" s="272"/>
      <c r="J119" s="272">
        <v>13923.69715</v>
      </c>
      <c r="K119" s="272">
        <v>2367.09942</v>
      </c>
      <c r="L119" s="272">
        <v>2125.6809199999998</v>
      </c>
      <c r="M119" s="272">
        <v>18416.477489999997</v>
      </c>
      <c r="N119" s="272">
        <v>12853.475</v>
      </c>
      <c r="O119" s="272">
        <v>1.7288599999999998</v>
      </c>
      <c r="P119" s="272">
        <v>478.98270000000002</v>
      </c>
      <c r="Q119" s="272">
        <v>317.31238999999999</v>
      </c>
      <c r="R119" s="272">
        <v>134.92138</v>
      </c>
      <c r="S119" s="272">
        <v>7020.5706799999998</v>
      </c>
      <c r="U119" s="272">
        <v>3629.9507599999997</v>
      </c>
      <c r="V119" s="272">
        <v>0</v>
      </c>
      <c r="W119" s="272">
        <v>0</v>
      </c>
      <c r="X119" s="272">
        <v>3390.6199200000001</v>
      </c>
      <c r="Y119" s="272">
        <v>-104.91091</v>
      </c>
      <c r="Z119" s="272">
        <v>0</v>
      </c>
      <c r="AA119" s="272">
        <v>0</v>
      </c>
      <c r="AB119" s="272">
        <v>3495.5308300000002</v>
      </c>
      <c r="AD119" s="272">
        <v>12260.8338</v>
      </c>
      <c r="AE119" s="157">
        <v>7054.9053199999998</v>
      </c>
      <c r="AF119" s="184">
        <v>34.33464</v>
      </c>
      <c r="AG119" s="272">
        <v>-6049.8535999999995</v>
      </c>
      <c r="AH119" s="272">
        <v>0</v>
      </c>
      <c r="AI119" s="184">
        <v>41.862400000000001</v>
      </c>
      <c r="AJ119" s="272">
        <v>1120.4939999999999</v>
      </c>
      <c r="AL119" s="272">
        <v>22450</v>
      </c>
      <c r="AM119" s="184">
        <v>-2.25</v>
      </c>
      <c r="AN119" s="272">
        <v>-1000</v>
      </c>
      <c r="AO119" s="343">
        <v>8479</v>
      </c>
      <c r="AP119" s="332">
        <v>8.1</v>
      </c>
      <c r="AQ119" s="448"/>
      <c r="AS119" s="455">
        <v>9476.853509999999</v>
      </c>
      <c r="AT119" s="272">
        <v>32537.437420000002</v>
      </c>
      <c r="AU119" s="450"/>
      <c r="AV119" s="334">
        <v>13879.3146</v>
      </c>
      <c r="AW119" s="334">
        <v>1852.6026499999998</v>
      </c>
      <c r="AX119" s="334">
        <v>2384.6169199999999</v>
      </c>
      <c r="AY119" s="334">
        <v>18116.534170000003</v>
      </c>
      <c r="AZ119" s="334">
        <v>12396.982</v>
      </c>
      <c r="BA119" s="272">
        <v>32.42089</v>
      </c>
      <c r="BB119" s="333">
        <v>523.93499999999995</v>
      </c>
      <c r="BC119" s="272">
        <v>242.66386</v>
      </c>
      <c r="BD119" s="272">
        <v>140.34495999999999</v>
      </c>
      <c r="BE119" s="334">
        <v>7064.1370499999994</v>
      </c>
      <c r="BG119" s="331">
        <v>4026.91786</v>
      </c>
      <c r="BH119" s="331">
        <v>0</v>
      </c>
      <c r="BI119" s="331">
        <v>921.34480000000008</v>
      </c>
      <c r="BJ119" s="334">
        <v>2115.8743899999999</v>
      </c>
      <c r="BK119" s="334">
        <v>-104.91091</v>
      </c>
      <c r="BL119" s="331">
        <v>0</v>
      </c>
      <c r="BM119" s="334">
        <v>0</v>
      </c>
      <c r="BN119" s="334">
        <v>2220.7853</v>
      </c>
      <c r="BP119" s="334">
        <v>14481.619100000002</v>
      </c>
      <c r="BQ119" s="311">
        <v>6128.8572899999999</v>
      </c>
      <c r="BR119" s="272">
        <v>-13.934959999999998</v>
      </c>
      <c r="BS119" s="461">
        <v>-4272.9840999999997</v>
      </c>
      <c r="BT119" s="272">
        <v>0</v>
      </c>
      <c r="BU119" s="272">
        <v>1048.8751000000002</v>
      </c>
      <c r="BV119" s="333">
        <v>2392.5532499999999</v>
      </c>
      <c r="BX119" s="272">
        <v>21250</v>
      </c>
      <c r="BY119" s="469">
        <v>-24.43</v>
      </c>
      <c r="BZ119" s="469">
        <v>-1200</v>
      </c>
      <c r="CA119" s="552"/>
      <c r="CB119" s="335">
        <v>8.4</v>
      </c>
      <c r="CC119" s="471">
        <f t="shared" si="1"/>
        <v>8.4</v>
      </c>
      <c r="CD119" s="561"/>
      <c r="CE119" s="272"/>
      <c r="CF119" s="262"/>
      <c r="CI119" s="158">
        <v>0</v>
      </c>
      <c r="CJ119" s="331">
        <v>12769.24849315439</v>
      </c>
      <c r="CK119" s="331">
        <v>13279.10538250758</v>
      </c>
      <c r="CL119" s="331">
        <v>12692.742991852496</v>
      </c>
      <c r="CM119" s="472">
        <v>13063.863664941311</v>
      </c>
      <c r="CN119" s="472">
        <v>13063.39913109293</v>
      </c>
      <c r="CO119" s="480">
        <v>1272.5029999999999</v>
      </c>
      <c r="CP119" s="557"/>
      <c r="CQ119" s="474">
        <v>1.97028</v>
      </c>
      <c r="CR119" s="474">
        <v>0.4</v>
      </c>
    </row>
    <row r="120" spans="1:96" x14ac:dyDescent="0.2">
      <c r="A120" s="154">
        <v>407</v>
      </c>
      <c r="B120" s="156" t="s">
        <v>150</v>
      </c>
      <c r="C120" s="325">
        <v>2449</v>
      </c>
      <c r="D120" s="270">
        <v>8.86</v>
      </c>
      <c r="E120" s="185"/>
      <c r="G120" s="272">
        <v>2353.9902099999999</v>
      </c>
      <c r="H120" s="272">
        <v>9922.5542399999995</v>
      </c>
      <c r="I120" s="272"/>
      <c r="J120" s="272">
        <v>4156.1379399999996</v>
      </c>
      <c r="K120" s="272">
        <v>528.6700699999999</v>
      </c>
      <c r="L120" s="272">
        <v>652.70066000000008</v>
      </c>
      <c r="M120" s="272">
        <v>5337.5086700000002</v>
      </c>
      <c r="N120" s="272">
        <v>2735.2750000000001</v>
      </c>
      <c r="O120" s="272">
        <v>43.496870000000001</v>
      </c>
      <c r="P120" s="272">
        <v>25.58708</v>
      </c>
      <c r="Q120" s="272">
        <v>287.48138</v>
      </c>
      <c r="R120" s="272">
        <v>-6.1530200000000006</v>
      </c>
      <c r="S120" s="272">
        <v>815.76382999999998</v>
      </c>
      <c r="U120" s="272">
        <v>597.58130000000006</v>
      </c>
      <c r="V120" s="272">
        <v>0</v>
      </c>
      <c r="W120" s="272">
        <v>0</v>
      </c>
      <c r="X120" s="272">
        <v>218.18252999999999</v>
      </c>
      <c r="Y120" s="272">
        <v>0</v>
      </c>
      <c r="Z120" s="272">
        <v>0</v>
      </c>
      <c r="AA120" s="272">
        <v>0</v>
      </c>
      <c r="AB120" s="272">
        <v>218.18252999999999</v>
      </c>
      <c r="AD120" s="272">
        <v>7003.7591499999999</v>
      </c>
      <c r="AE120" s="157">
        <v>807.49171000000001</v>
      </c>
      <c r="AF120" s="184">
        <v>-8.272120000000001</v>
      </c>
      <c r="AG120" s="272">
        <v>-617.15360999999996</v>
      </c>
      <c r="AH120" s="272">
        <v>0</v>
      </c>
      <c r="AI120" s="184">
        <v>14.948</v>
      </c>
      <c r="AJ120" s="272">
        <v>1372.12069</v>
      </c>
      <c r="AL120" s="272">
        <v>1159.1009999999999</v>
      </c>
      <c r="AM120" s="184">
        <v>0</v>
      </c>
      <c r="AN120" s="272">
        <v>-404.87799999999999</v>
      </c>
      <c r="AO120" s="343">
        <v>2429</v>
      </c>
      <c r="AP120" s="332">
        <v>8.9</v>
      </c>
      <c r="AQ120" s="448"/>
      <c r="AS120" s="455">
        <v>2437.4365600000001</v>
      </c>
      <c r="AT120" s="272">
        <v>10013.0625</v>
      </c>
      <c r="AU120" s="450"/>
      <c r="AV120" s="334">
        <v>4358.9064100000005</v>
      </c>
      <c r="AW120" s="334">
        <v>398.13682</v>
      </c>
      <c r="AX120" s="334">
        <v>776.02910999999995</v>
      </c>
      <c r="AY120" s="334">
        <v>5533.0723399999997</v>
      </c>
      <c r="AZ120" s="334">
        <v>2665.6759999999999</v>
      </c>
      <c r="BA120" s="272">
        <v>43.097900000000003</v>
      </c>
      <c r="BB120" s="333">
        <v>22.171700000000001</v>
      </c>
      <c r="BC120" s="272">
        <v>876.78869999999995</v>
      </c>
      <c r="BD120" s="272">
        <v>25.655189999999997</v>
      </c>
      <c r="BE120" s="334">
        <v>1495.1821100000002</v>
      </c>
      <c r="BG120" s="331">
        <v>571.49841000000004</v>
      </c>
      <c r="BH120" s="334">
        <v>0</v>
      </c>
      <c r="BI120" s="331">
        <v>0</v>
      </c>
      <c r="BJ120" s="334">
        <v>923.68369999999993</v>
      </c>
      <c r="BK120" s="331">
        <v>0</v>
      </c>
      <c r="BL120" s="331">
        <v>0</v>
      </c>
      <c r="BM120" s="331">
        <v>0</v>
      </c>
      <c r="BN120" s="334">
        <v>923.68369999999993</v>
      </c>
      <c r="BP120" s="334">
        <v>7927.4428500000004</v>
      </c>
      <c r="BQ120" s="311">
        <v>1494.81835</v>
      </c>
      <c r="BR120" s="272">
        <v>-0.36372000000000004</v>
      </c>
      <c r="BS120" s="461">
        <v>-744.79501000000005</v>
      </c>
      <c r="BT120" s="272">
        <v>20</v>
      </c>
      <c r="BU120" s="272">
        <v>0</v>
      </c>
      <c r="BV120" s="333">
        <v>1824.7852700000001</v>
      </c>
      <c r="BX120" s="272">
        <v>789.22299999999996</v>
      </c>
      <c r="BY120" s="469">
        <v>0</v>
      </c>
      <c r="BZ120" s="469">
        <v>-369.87799999999999</v>
      </c>
      <c r="CA120" s="552"/>
      <c r="CB120" s="335">
        <v>8.9</v>
      </c>
      <c r="CC120" s="471">
        <f t="shared" si="1"/>
        <v>8.9</v>
      </c>
      <c r="CD120" s="558"/>
      <c r="CE120" s="272"/>
      <c r="CF120" s="262"/>
      <c r="CI120" s="158">
        <v>0</v>
      </c>
      <c r="CJ120" s="331">
        <v>2265.3799899577516</v>
      </c>
      <c r="CK120" s="331">
        <v>2017.9805476524964</v>
      </c>
      <c r="CL120" s="331">
        <v>2530.0150936635955</v>
      </c>
      <c r="CM120" s="472">
        <v>2638.5640481401206</v>
      </c>
      <c r="CN120" s="472">
        <v>2700.8374434356319</v>
      </c>
      <c r="CO120" s="480">
        <v>-582.75099999999998</v>
      </c>
      <c r="CP120" s="557"/>
      <c r="CQ120" s="474">
        <v>0</v>
      </c>
      <c r="CR120" s="474">
        <v>0</v>
      </c>
    </row>
    <row r="121" spans="1:96" x14ac:dyDescent="0.2">
      <c r="A121" s="265">
        <v>402</v>
      </c>
      <c r="B121" s="262" t="s">
        <v>151</v>
      </c>
      <c r="C121" s="325">
        <v>8975</v>
      </c>
      <c r="D121" s="270">
        <v>8.61</v>
      </c>
      <c r="E121" s="311"/>
      <c r="F121" s="310"/>
      <c r="G121" s="272">
        <v>6578.6318099999999</v>
      </c>
      <c r="H121" s="272">
        <v>28402.011829999999</v>
      </c>
      <c r="I121" s="272"/>
      <c r="J121" s="272">
        <v>14000.09166</v>
      </c>
      <c r="K121" s="272">
        <v>1738.18444</v>
      </c>
      <c r="L121" s="272">
        <v>2309.0545999999999</v>
      </c>
      <c r="M121" s="272">
        <v>18047.330699999999</v>
      </c>
      <c r="N121" s="272">
        <v>7863.0929999999998</v>
      </c>
      <c r="O121" s="272">
        <v>445.33850999999999</v>
      </c>
      <c r="P121" s="272">
        <v>860.15175999999997</v>
      </c>
      <c r="Q121" s="272">
        <v>1268.9916899999998</v>
      </c>
      <c r="R121" s="272">
        <v>386.40194000000002</v>
      </c>
      <c r="S121" s="272">
        <v>4554.8201799999997</v>
      </c>
      <c r="T121" s="310"/>
      <c r="U121" s="272">
        <v>3382.6771400000002</v>
      </c>
      <c r="V121" s="272">
        <v>0</v>
      </c>
      <c r="W121" s="272">
        <v>0</v>
      </c>
      <c r="X121" s="272">
        <v>1172.1430399999999</v>
      </c>
      <c r="Y121" s="272">
        <v>0</v>
      </c>
      <c r="Z121" s="272">
        <v>0</v>
      </c>
      <c r="AA121" s="272">
        <v>0</v>
      </c>
      <c r="AB121" s="272">
        <v>1172.1430399999999</v>
      </c>
      <c r="AC121" s="310"/>
      <c r="AD121" s="272">
        <v>505.36856999999998</v>
      </c>
      <c r="AE121" s="462">
        <v>4554.8201799999997</v>
      </c>
      <c r="AF121" s="333">
        <v>0</v>
      </c>
      <c r="AG121" s="272">
        <v>-2433.57395</v>
      </c>
      <c r="AH121" s="272">
        <v>0</v>
      </c>
      <c r="AI121" s="333">
        <v>121.51778999999999</v>
      </c>
      <c r="AJ121" s="272">
        <v>950.7531899999999</v>
      </c>
      <c r="AK121" s="310"/>
      <c r="AL121" s="272">
        <v>37867.873050000002</v>
      </c>
      <c r="AM121" s="333">
        <v>0</v>
      </c>
      <c r="AN121" s="272">
        <v>-49.567059999999998</v>
      </c>
      <c r="AO121" s="343">
        <v>8865</v>
      </c>
      <c r="AP121" s="332">
        <v>9.4</v>
      </c>
      <c r="AQ121" s="446"/>
      <c r="AR121" s="452"/>
      <c r="AS121" s="455">
        <v>6469.4074500000006</v>
      </c>
      <c r="AT121" s="272">
        <v>27154.768510000002</v>
      </c>
      <c r="AU121" s="451"/>
      <c r="AV121" s="333">
        <v>15404.416710000001</v>
      </c>
      <c r="AW121" s="333">
        <v>1536.81016</v>
      </c>
      <c r="AX121" s="333">
        <v>2805.4180099999999</v>
      </c>
      <c r="AY121" s="333">
        <v>19746.64488</v>
      </c>
      <c r="AZ121" s="333">
        <v>4985.4679999999998</v>
      </c>
      <c r="BA121" s="333">
        <v>445.33572999999996</v>
      </c>
      <c r="BB121" s="333">
        <v>985.95756999999992</v>
      </c>
      <c r="BC121" s="333">
        <v>1482.7093</v>
      </c>
      <c r="BD121" s="333">
        <v>4.3493699999999995</v>
      </c>
      <c r="BE121" s="333">
        <v>4984.4899100000002</v>
      </c>
      <c r="BF121" s="452"/>
      <c r="BG121" s="333">
        <v>3784.5559399999997</v>
      </c>
      <c r="BH121" s="333">
        <v>0</v>
      </c>
      <c r="BI121" s="333">
        <v>0</v>
      </c>
      <c r="BJ121" s="333">
        <v>1199.93397</v>
      </c>
      <c r="BK121" s="333">
        <v>0</v>
      </c>
      <c r="BL121" s="333">
        <v>500</v>
      </c>
      <c r="BM121" s="333">
        <v>0</v>
      </c>
      <c r="BN121" s="333">
        <v>699.93396999999993</v>
      </c>
      <c r="BO121" s="452"/>
      <c r="BP121" s="333">
        <v>1205.3025400000001</v>
      </c>
      <c r="BQ121" s="462">
        <v>4982.0230499999998</v>
      </c>
      <c r="BR121" s="333">
        <v>-2.4668600000000001</v>
      </c>
      <c r="BS121" s="333">
        <v>-2158.8663500000002</v>
      </c>
      <c r="BT121" s="333">
        <v>16.8</v>
      </c>
      <c r="BU121" s="333">
        <v>86.436000000000007</v>
      </c>
      <c r="BV121" s="333">
        <v>4396.5843199999999</v>
      </c>
      <c r="BW121" s="452"/>
      <c r="BX121" s="333">
        <v>38897.18505</v>
      </c>
      <c r="BY121" s="469">
        <v>-1.0349600000000001</v>
      </c>
      <c r="BZ121" s="469">
        <v>1029.3119999999999</v>
      </c>
      <c r="CA121" s="452"/>
      <c r="CB121" s="335">
        <v>9.4</v>
      </c>
      <c r="CC121" s="471">
        <f t="shared" si="1"/>
        <v>9.4</v>
      </c>
      <c r="CD121" s="558"/>
      <c r="CE121" s="272"/>
      <c r="CF121" s="262"/>
      <c r="CG121" s="310"/>
      <c r="CH121" s="310"/>
      <c r="CI121" s="310">
        <v>0</v>
      </c>
      <c r="CJ121" s="333">
        <v>6166.2728951474519</v>
      </c>
      <c r="CK121" s="333">
        <v>5750.4586089731411</v>
      </c>
      <c r="CL121" s="331">
        <v>6290.641229425697</v>
      </c>
      <c r="CM121" s="472">
        <v>6628.6648069629064</v>
      </c>
      <c r="CN121" s="472">
        <v>6837.5673277264723</v>
      </c>
      <c r="CO121" s="480">
        <v>150.31</v>
      </c>
      <c r="CP121" s="557"/>
      <c r="CQ121" s="474">
        <v>0</v>
      </c>
      <c r="CR121" s="474">
        <v>0</v>
      </c>
    </row>
    <row r="122" spans="1:96" x14ac:dyDescent="0.2">
      <c r="A122" s="154">
        <v>403</v>
      </c>
      <c r="B122" s="156" t="s">
        <v>152</v>
      </c>
      <c r="C122" s="325">
        <v>2789</v>
      </c>
      <c r="D122" s="270">
        <v>9.36</v>
      </c>
      <c r="E122" s="185"/>
      <c r="G122" s="272">
        <v>2330.1695199999999</v>
      </c>
      <c r="H122" s="272">
        <v>10120.74107</v>
      </c>
      <c r="I122" s="272"/>
      <c r="J122" s="272">
        <v>4326.4369900000002</v>
      </c>
      <c r="K122" s="272">
        <v>591.89559999999994</v>
      </c>
      <c r="L122" s="272">
        <v>1086.26622</v>
      </c>
      <c r="M122" s="272">
        <v>6004.5988099999995</v>
      </c>
      <c r="N122" s="272">
        <v>3817.4110000000001</v>
      </c>
      <c r="O122" s="272">
        <v>23.961860000000001</v>
      </c>
      <c r="P122" s="272">
        <v>283.43334999999996</v>
      </c>
      <c r="Q122" s="272">
        <v>11.969340000000001</v>
      </c>
      <c r="R122" s="272">
        <v>162.45585999999997</v>
      </c>
      <c r="S122" s="272">
        <v>1621.4802500000001</v>
      </c>
      <c r="U122" s="272">
        <v>1104.9018899999999</v>
      </c>
      <c r="V122" s="272">
        <v>0</v>
      </c>
      <c r="W122" s="272">
        <v>0</v>
      </c>
      <c r="X122" s="272">
        <v>516.57835999999998</v>
      </c>
      <c r="Y122" s="272">
        <v>-26.787130000000001</v>
      </c>
      <c r="Z122" s="272">
        <v>0</v>
      </c>
      <c r="AA122" s="272">
        <v>0</v>
      </c>
      <c r="AB122" s="272">
        <v>543.36549000000002</v>
      </c>
      <c r="AD122" s="272">
        <v>2338.70559</v>
      </c>
      <c r="AE122" s="157">
        <v>1911.1185</v>
      </c>
      <c r="AF122" s="184">
        <v>289.63825000000003</v>
      </c>
      <c r="AG122" s="272">
        <v>-911.82716000000005</v>
      </c>
      <c r="AH122" s="272">
        <v>123.25880000000001</v>
      </c>
      <c r="AI122" s="184">
        <v>200</v>
      </c>
      <c r="AJ122" s="272">
        <v>1796.1996899999999</v>
      </c>
      <c r="AL122" s="272">
        <v>12725</v>
      </c>
      <c r="AM122" s="184">
        <v>0</v>
      </c>
      <c r="AN122" s="272">
        <v>-850</v>
      </c>
      <c r="AO122" s="343">
        <v>2758</v>
      </c>
      <c r="AP122" s="332">
        <v>9.4</v>
      </c>
      <c r="AQ122" s="448"/>
      <c r="AS122" s="455">
        <v>2564.6509700000001</v>
      </c>
      <c r="AT122" s="272">
        <v>9669.2666699999991</v>
      </c>
      <c r="AU122" s="450"/>
      <c r="AV122" s="334">
        <v>4434.7549500000005</v>
      </c>
      <c r="AW122" s="334">
        <v>456.55884999999995</v>
      </c>
      <c r="AX122" s="334">
        <v>1203.80619</v>
      </c>
      <c r="AY122" s="334">
        <v>6095.1199900000001</v>
      </c>
      <c r="AZ122" s="334">
        <v>3241</v>
      </c>
      <c r="BA122" s="272">
        <v>21.587529999999997</v>
      </c>
      <c r="BB122" s="333">
        <v>443.26284999999996</v>
      </c>
      <c r="BC122" s="272">
        <v>32.25159</v>
      </c>
      <c r="BD122" s="272">
        <v>1.0803399999999999</v>
      </c>
      <c r="BE122" s="334">
        <v>1841.0002199999999</v>
      </c>
      <c r="BG122" s="331">
        <v>1100.1472800000001</v>
      </c>
      <c r="BH122" s="331">
        <v>0</v>
      </c>
      <c r="BI122" s="331">
        <v>0</v>
      </c>
      <c r="BJ122" s="334">
        <v>740.85293999999999</v>
      </c>
      <c r="BK122" s="331">
        <v>-26.787130000000001</v>
      </c>
      <c r="BL122" s="331">
        <v>0</v>
      </c>
      <c r="BM122" s="331">
        <v>0</v>
      </c>
      <c r="BN122" s="334">
        <v>767.64006999999992</v>
      </c>
      <c r="BP122" s="334">
        <v>3106.3456599999995</v>
      </c>
      <c r="BQ122" s="311">
        <v>1687.4468200000001</v>
      </c>
      <c r="BR122" s="272">
        <v>-153.55339999999998</v>
      </c>
      <c r="BS122" s="461">
        <v>-1287.1718100000001</v>
      </c>
      <c r="BT122" s="272">
        <v>-3.88402</v>
      </c>
      <c r="BU122" s="272">
        <v>340.38148999999999</v>
      </c>
      <c r="BV122" s="333">
        <v>1271.3114499999999</v>
      </c>
      <c r="BX122" s="272">
        <v>12175</v>
      </c>
      <c r="BY122" s="469">
        <v>160</v>
      </c>
      <c r="BZ122" s="469">
        <v>-550</v>
      </c>
      <c r="CA122" s="552"/>
      <c r="CB122" s="335">
        <v>9.4</v>
      </c>
      <c r="CC122" s="471">
        <f t="shared" si="1"/>
        <v>9.4</v>
      </c>
      <c r="CD122" s="559"/>
      <c r="CE122" s="272"/>
      <c r="CF122" s="262"/>
      <c r="CG122" s="260"/>
      <c r="CI122" s="158">
        <v>0</v>
      </c>
      <c r="CJ122" s="331">
        <v>3301.7627462237033</v>
      </c>
      <c r="CK122" s="331">
        <v>3465.1710039652326</v>
      </c>
      <c r="CL122" s="331">
        <v>3492.6589012159943</v>
      </c>
      <c r="CM122" s="472">
        <v>3787.8198686862384</v>
      </c>
      <c r="CN122" s="472">
        <v>3883.5041408126935</v>
      </c>
      <c r="CO122" s="480">
        <v>123.758</v>
      </c>
      <c r="CP122" s="557"/>
      <c r="CQ122" s="474">
        <v>0</v>
      </c>
      <c r="CR122" s="474">
        <v>0</v>
      </c>
    </row>
    <row r="123" spans="1:96" x14ac:dyDescent="0.2">
      <c r="A123" s="265">
        <v>405</v>
      </c>
      <c r="B123" s="262" t="s">
        <v>153</v>
      </c>
      <c r="C123" s="325">
        <v>72988</v>
      </c>
      <c r="D123" s="270">
        <v>8.36</v>
      </c>
      <c r="E123" s="311"/>
      <c r="F123" s="262"/>
      <c r="G123" s="272">
        <v>41996.583899999998</v>
      </c>
      <c r="H123" s="272">
        <v>207197.21059</v>
      </c>
      <c r="I123" s="272"/>
      <c r="J123" s="272">
        <v>136900.51427000001</v>
      </c>
      <c r="K123" s="272">
        <v>25181.264940000001</v>
      </c>
      <c r="L123" s="272">
        <v>27396.17539</v>
      </c>
      <c r="M123" s="272">
        <v>189477.9546</v>
      </c>
      <c r="N123" s="272">
        <v>27077.909</v>
      </c>
      <c r="O123" s="272">
        <v>9816.0467799999988</v>
      </c>
      <c r="P123" s="272">
        <v>3784.3067000000001</v>
      </c>
      <c r="Q123" s="272">
        <v>4991.3237600000002</v>
      </c>
      <c r="R123" s="272">
        <v>13.48535</v>
      </c>
      <c r="S123" s="272">
        <v>63360.546710000002</v>
      </c>
      <c r="T123" s="262"/>
      <c r="U123" s="272">
        <v>34507.786959999998</v>
      </c>
      <c r="V123" s="272">
        <v>0</v>
      </c>
      <c r="W123" s="272">
        <v>0</v>
      </c>
      <c r="X123" s="272">
        <v>28852.759750000001</v>
      </c>
      <c r="Y123" s="272">
        <v>-345.81200999999999</v>
      </c>
      <c r="Z123" s="272">
        <v>-92.880619999999993</v>
      </c>
      <c r="AA123" s="272">
        <v>0</v>
      </c>
      <c r="AB123" s="272">
        <v>29291.452379999999</v>
      </c>
      <c r="AC123" s="262"/>
      <c r="AD123" s="272">
        <v>138180.68286999999</v>
      </c>
      <c r="AE123" s="311">
        <v>61297.100810000004</v>
      </c>
      <c r="AF123" s="272">
        <v>-2063.4458999999997</v>
      </c>
      <c r="AG123" s="272">
        <v>-26753.712960000001</v>
      </c>
      <c r="AH123" s="272">
        <v>444.24382000000003</v>
      </c>
      <c r="AI123" s="272">
        <v>5947.47588</v>
      </c>
      <c r="AJ123" s="272">
        <v>60807.089159999996</v>
      </c>
      <c r="AK123" s="262"/>
      <c r="AL123" s="272">
        <v>190078.77922999999</v>
      </c>
      <c r="AM123" s="272">
        <v>-5832.3937000000005</v>
      </c>
      <c r="AN123" s="272">
        <v>260.20265000000001</v>
      </c>
      <c r="AO123" s="325">
        <v>73327</v>
      </c>
      <c r="AP123" s="332">
        <v>8.3000000000000007</v>
      </c>
      <c r="AQ123" s="446"/>
      <c r="AS123" s="455">
        <v>44249.640169999999</v>
      </c>
      <c r="AT123" s="272">
        <v>208451.97527000002</v>
      </c>
      <c r="AU123" s="447"/>
      <c r="AV123" s="272">
        <v>131737.258</v>
      </c>
      <c r="AW123" s="272">
        <v>26184.168610000001</v>
      </c>
      <c r="AX123" s="272">
        <v>28111.40078</v>
      </c>
      <c r="AY123" s="272">
        <v>186032.82738999999</v>
      </c>
      <c r="AZ123" s="272">
        <v>22948.49</v>
      </c>
      <c r="BA123" s="272">
        <v>10170.668820000001</v>
      </c>
      <c r="BB123" s="272">
        <v>4026.0503199999998</v>
      </c>
      <c r="BC123" s="272">
        <v>4877.4090099999994</v>
      </c>
      <c r="BD123" s="272">
        <v>18.53492</v>
      </c>
      <c r="BE123" s="272">
        <v>56808.154499999997</v>
      </c>
      <c r="BG123" s="272">
        <v>21279.812530000003</v>
      </c>
      <c r="BH123" s="272">
        <v>0</v>
      </c>
      <c r="BI123" s="272">
        <v>0</v>
      </c>
      <c r="BJ123" s="272">
        <v>35528.341970000001</v>
      </c>
      <c r="BK123" s="272">
        <v>-94.038359999999997</v>
      </c>
      <c r="BL123" s="272">
        <v>0</v>
      </c>
      <c r="BM123" s="272">
        <v>0</v>
      </c>
      <c r="BN123" s="272">
        <v>35622.38033</v>
      </c>
      <c r="BP123" s="272">
        <v>173803.06319999998</v>
      </c>
      <c r="BQ123" s="311">
        <v>55178.699529999998</v>
      </c>
      <c r="BR123" s="272">
        <v>-1629.45497</v>
      </c>
      <c r="BS123" s="272">
        <v>-56265.163520000002</v>
      </c>
      <c r="BT123" s="272">
        <v>1515.68199</v>
      </c>
      <c r="BU123" s="272">
        <v>1002.909</v>
      </c>
      <c r="BV123" s="272">
        <v>55392.918549999995</v>
      </c>
      <c r="BX123" s="272">
        <v>180552.8383</v>
      </c>
      <c r="BY123" s="469">
        <v>497.92421999999999</v>
      </c>
      <c r="BZ123" s="469">
        <v>-9525.9409299999988</v>
      </c>
      <c r="CB123" s="335">
        <v>8.3000000000000007</v>
      </c>
      <c r="CC123" s="471">
        <f t="shared" si="1"/>
        <v>8.3000000000000007</v>
      </c>
      <c r="CD123" s="558"/>
      <c r="CE123" s="272"/>
      <c r="CF123" s="262"/>
      <c r="CG123" s="262"/>
      <c r="CH123" s="262"/>
      <c r="CI123" s="262">
        <v>0</v>
      </c>
      <c r="CJ123" s="331">
        <v>29681.552650348025</v>
      </c>
      <c r="CK123" s="331">
        <v>29117.365797614548</v>
      </c>
      <c r="CL123" s="331">
        <v>34713.441733638807</v>
      </c>
      <c r="CM123" s="472">
        <v>38415.533113580146</v>
      </c>
      <c r="CN123" s="472">
        <v>39505.504063847169</v>
      </c>
      <c r="CO123" s="480">
        <v>-3172.3989999999999</v>
      </c>
      <c r="CP123" s="557"/>
      <c r="CQ123" s="474">
        <v>995.73131000000001</v>
      </c>
      <c r="CR123" s="474">
        <v>1025.6796199999999</v>
      </c>
    </row>
    <row r="124" spans="1:96" x14ac:dyDescent="0.2">
      <c r="A124" s="154">
        <v>408</v>
      </c>
      <c r="B124" s="156" t="s">
        <v>154</v>
      </c>
      <c r="C124" s="325">
        <v>14024</v>
      </c>
      <c r="D124" s="270">
        <v>8.8599999999999977</v>
      </c>
      <c r="E124" s="185"/>
      <c r="G124" s="272">
        <v>11184.28039</v>
      </c>
      <c r="H124" s="272">
        <v>47135.83612</v>
      </c>
      <c r="I124" s="272"/>
      <c r="J124" s="272">
        <v>25330.663190000003</v>
      </c>
      <c r="K124" s="272">
        <v>2984.37212</v>
      </c>
      <c r="L124" s="272">
        <v>3270.26485</v>
      </c>
      <c r="M124" s="272">
        <v>31585.300159999999</v>
      </c>
      <c r="N124" s="272">
        <v>15933.67</v>
      </c>
      <c r="O124" s="272">
        <v>19.105520000000002</v>
      </c>
      <c r="P124" s="272">
        <v>1091.3450399999999</v>
      </c>
      <c r="Q124" s="272">
        <v>293.70703000000003</v>
      </c>
      <c r="R124" s="272">
        <v>84.260229999999993</v>
      </c>
      <c r="S124" s="272">
        <v>11139.853539999998</v>
      </c>
      <c r="U124" s="272">
        <v>6642.7509800000007</v>
      </c>
      <c r="V124" s="272">
        <v>0</v>
      </c>
      <c r="W124" s="272">
        <v>92.010139999999993</v>
      </c>
      <c r="X124" s="272">
        <v>4405.0924199999999</v>
      </c>
      <c r="Y124" s="272">
        <v>0</v>
      </c>
      <c r="Z124" s="272">
        <v>0</v>
      </c>
      <c r="AA124" s="272">
        <v>0</v>
      </c>
      <c r="AB124" s="272">
        <v>4405.0924199999999</v>
      </c>
      <c r="AD124" s="272">
        <v>26738.222470000001</v>
      </c>
      <c r="AE124" s="157">
        <v>10942.112660000001</v>
      </c>
      <c r="AF124" s="184">
        <v>-105.73074000000001</v>
      </c>
      <c r="AG124" s="272">
        <v>-6925.1646799999999</v>
      </c>
      <c r="AH124" s="272">
        <v>27.2</v>
      </c>
      <c r="AI124" s="184">
        <v>251.97854000000001</v>
      </c>
      <c r="AJ124" s="272">
        <v>3132.84933</v>
      </c>
      <c r="AL124" s="272">
        <v>63100</v>
      </c>
      <c r="AM124" s="184">
        <v>654.04</v>
      </c>
      <c r="AN124" s="272">
        <v>-4400</v>
      </c>
      <c r="AO124" s="343">
        <v>14028</v>
      </c>
      <c r="AP124" s="332">
        <v>8.9</v>
      </c>
      <c r="AQ124" s="448"/>
      <c r="AS124" s="455">
        <v>10954.036789999998</v>
      </c>
      <c r="AT124" s="272">
        <v>47711.029000000002</v>
      </c>
      <c r="AU124" s="450"/>
      <c r="AV124" s="334">
        <v>25363.103199999998</v>
      </c>
      <c r="AW124" s="334">
        <v>2510.9186600000003</v>
      </c>
      <c r="AX124" s="334">
        <v>3340.0963199999997</v>
      </c>
      <c r="AY124" s="334">
        <v>31214.118180000001</v>
      </c>
      <c r="AZ124" s="334">
        <v>13891.192999999999</v>
      </c>
      <c r="BA124" s="272">
        <v>19.878259999999997</v>
      </c>
      <c r="BB124" s="333">
        <v>1417.1309699999999</v>
      </c>
      <c r="BC124" s="272">
        <v>220.47951999999998</v>
      </c>
      <c r="BD124" s="272">
        <v>24.582470000000001</v>
      </c>
      <c r="BE124" s="334">
        <v>7502.3924400000005</v>
      </c>
      <c r="BG124" s="331">
        <v>6866.13033</v>
      </c>
      <c r="BH124" s="331">
        <v>0</v>
      </c>
      <c r="BI124" s="331">
        <v>0</v>
      </c>
      <c r="BJ124" s="334">
        <v>636.26211000000001</v>
      </c>
      <c r="BK124" s="331">
        <v>0</v>
      </c>
      <c r="BL124" s="331">
        <v>0</v>
      </c>
      <c r="BM124" s="331">
        <v>0</v>
      </c>
      <c r="BN124" s="334">
        <v>636.26211000000001</v>
      </c>
      <c r="BP124" s="334">
        <v>27374.484579999997</v>
      </c>
      <c r="BQ124" s="311">
        <v>7404.8788700000005</v>
      </c>
      <c r="BR124" s="272">
        <v>-97.513570000000001</v>
      </c>
      <c r="BS124" s="461">
        <v>-7179.3813200000004</v>
      </c>
      <c r="BT124" s="272">
        <v>163.577</v>
      </c>
      <c r="BU124" s="272">
        <v>182.5676</v>
      </c>
      <c r="BV124" s="333">
        <v>3421.60025</v>
      </c>
      <c r="BX124" s="272">
        <v>64300</v>
      </c>
      <c r="BY124" s="469">
        <v>-902.8</v>
      </c>
      <c r="BZ124" s="469">
        <v>1200</v>
      </c>
      <c r="CA124" s="552"/>
      <c r="CB124" s="335">
        <v>8.9</v>
      </c>
      <c r="CC124" s="471">
        <f t="shared" si="1"/>
        <v>8.9</v>
      </c>
      <c r="CD124" s="558"/>
      <c r="CE124" s="272"/>
      <c r="CF124" s="262"/>
      <c r="CI124" s="158">
        <v>0</v>
      </c>
      <c r="CJ124" s="331">
        <v>14580.065184390362</v>
      </c>
      <c r="CK124" s="331">
        <v>14746.448830666681</v>
      </c>
      <c r="CL124" s="331">
        <v>15064.406368758388</v>
      </c>
      <c r="CM124" s="472">
        <v>15776.528753324534</v>
      </c>
      <c r="CN124" s="472">
        <v>15345.096338383852</v>
      </c>
      <c r="CO124" s="480">
        <v>318.73399999999998</v>
      </c>
      <c r="CP124" s="557"/>
      <c r="CQ124" s="474">
        <v>435.23183</v>
      </c>
      <c r="CR124" s="474">
        <v>355.42912999999999</v>
      </c>
    </row>
    <row r="125" spans="1:96" x14ac:dyDescent="0.2">
      <c r="A125" s="154">
        <v>410</v>
      </c>
      <c r="B125" s="156" t="s">
        <v>155</v>
      </c>
      <c r="C125" s="325">
        <v>18762</v>
      </c>
      <c r="D125" s="270">
        <v>8.86</v>
      </c>
      <c r="E125" s="185"/>
      <c r="G125" s="272">
        <v>12439.651949999999</v>
      </c>
      <c r="H125" s="272">
        <v>66237.188290000006</v>
      </c>
      <c r="I125" s="272"/>
      <c r="J125" s="272">
        <v>34960.562250000003</v>
      </c>
      <c r="K125" s="272">
        <v>2803.9677099999999</v>
      </c>
      <c r="L125" s="272">
        <v>6562.6594400000004</v>
      </c>
      <c r="M125" s="272">
        <v>44327.189399999996</v>
      </c>
      <c r="N125" s="272">
        <v>20740.593000000001</v>
      </c>
      <c r="O125" s="272">
        <v>350.72800000000001</v>
      </c>
      <c r="P125" s="272">
        <v>1865.44379</v>
      </c>
      <c r="Q125" s="272">
        <v>416.93354999999997</v>
      </c>
      <c r="R125" s="272">
        <v>6.9858900000000004</v>
      </c>
      <c r="S125" s="272">
        <v>10165.477929999999</v>
      </c>
      <c r="U125" s="272">
        <v>7348.4149500000003</v>
      </c>
      <c r="V125" s="272">
        <v>0</v>
      </c>
      <c r="W125" s="272">
        <v>0</v>
      </c>
      <c r="X125" s="272">
        <v>2817.0629800000002</v>
      </c>
      <c r="Y125" s="272">
        <v>0</v>
      </c>
      <c r="Z125" s="272">
        <v>0</v>
      </c>
      <c r="AA125" s="272">
        <v>0</v>
      </c>
      <c r="AB125" s="272">
        <v>2817.0629800000002</v>
      </c>
      <c r="AD125" s="272">
        <v>101.80341000000044</v>
      </c>
      <c r="AE125" s="157">
        <v>9674.339539999999</v>
      </c>
      <c r="AF125" s="184">
        <v>-491.13839000000002</v>
      </c>
      <c r="AG125" s="272">
        <v>-5079.1107400000001</v>
      </c>
      <c r="AH125" s="272">
        <v>125.6</v>
      </c>
      <c r="AI125" s="184">
        <v>561.44299999999998</v>
      </c>
      <c r="AJ125" s="272">
        <v>1104.8160800000001</v>
      </c>
      <c r="AL125" s="272">
        <v>110461.43027</v>
      </c>
      <c r="AM125" s="184">
        <v>799.35294999999996</v>
      </c>
      <c r="AN125" s="272">
        <v>1427.52217</v>
      </c>
      <c r="AO125" s="343">
        <v>18878</v>
      </c>
      <c r="AP125" s="332">
        <v>9.9</v>
      </c>
      <c r="AQ125" s="448"/>
      <c r="AS125" s="455">
        <v>11602.833409999999</v>
      </c>
      <c r="AT125" s="272">
        <v>66961.971439999994</v>
      </c>
      <c r="AU125" s="450"/>
      <c r="AV125" s="334">
        <v>37837.669700000006</v>
      </c>
      <c r="AW125" s="334">
        <v>2198.75902</v>
      </c>
      <c r="AX125" s="334">
        <v>6730.2032099999997</v>
      </c>
      <c r="AY125" s="334">
        <v>46766.631930000003</v>
      </c>
      <c r="AZ125" s="334">
        <v>15586.23</v>
      </c>
      <c r="BA125" s="272">
        <v>436.45810999999998</v>
      </c>
      <c r="BB125" s="333">
        <v>2814.0612900000001</v>
      </c>
      <c r="BC125" s="272">
        <v>498.46492000000001</v>
      </c>
      <c r="BD125" s="272">
        <v>182.65613000000002</v>
      </c>
      <c r="BE125" s="334">
        <v>4931.9295099999999</v>
      </c>
      <c r="BG125" s="331">
        <v>7679.0899800000007</v>
      </c>
      <c r="BH125" s="331">
        <v>0</v>
      </c>
      <c r="BI125" s="331">
        <v>0</v>
      </c>
      <c r="BJ125" s="334">
        <v>-2747.1604700000003</v>
      </c>
      <c r="BK125" s="331">
        <v>0</v>
      </c>
      <c r="BL125" s="331">
        <v>0</v>
      </c>
      <c r="BM125" s="334">
        <v>0</v>
      </c>
      <c r="BN125" s="334">
        <v>-2747.1604700000003</v>
      </c>
      <c r="BP125" s="334">
        <v>-2645.3570600000003</v>
      </c>
      <c r="BQ125" s="311">
        <v>4652.0510300000005</v>
      </c>
      <c r="BR125" s="272">
        <v>-279.87846000000002</v>
      </c>
      <c r="BS125" s="461">
        <v>-4580.7930900000001</v>
      </c>
      <c r="BT125" s="272">
        <v>68.929360000000003</v>
      </c>
      <c r="BU125" s="272">
        <v>128.42894000000001</v>
      </c>
      <c r="BV125" s="333">
        <v>1475.7756200000001</v>
      </c>
      <c r="BX125" s="272">
        <v>109126.70918999999</v>
      </c>
      <c r="BY125" s="469">
        <v>865.09568999999999</v>
      </c>
      <c r="BZ125" s="469">
        <v>-1334.72108</v>
      </c>
      <c r="CA125" s="552"/>
      <c r="CB125" s="335">
        <v>9.9000000000000021</v>
      </c>
      <c r="CC125" s="471">
        <f t="shared" si="1"/>
        <v>9.9000000000000021</v>
      </c>
      <c r="CD125" s="558"/>
      <c r="CE125" s="272"/>
      <c r="CF125" s="262"/>
      <c r="CI125" s="158">
        <v>0</v>
      </c>
      <c r="CJ125" s="331">
        <v>18515.279438579226</v>
      </c>
      <c r="CK125" s="331">
        <v>19372.590614135446</v>
      </c>
      <c r="CL125" s="331">
        <v>20557.583068041662</v>
      </c>
      <c r="CM125" s="472">
        <v>21141.000099031491</v>
      </c>
      <c r="CN125" s="472">
        <v>21651.041300137404</v>
      </c>
      <c r="CO125" s="480">
        <v>-661.952</v>
      </c>
      <c r="CP125" s="557"/>
      <c r="CQ125" s="474">
        <v>0</v>
      </c>
      <c r="CR125" s="474">
        <v>0</v>
      </c>
    </row>
    <row r="126" spans="1:96" x14ac:dyDescent="0.2">
      <c r="A126" s="154">
        <v>416</v>
      </c>
      <c r="B126" s="156" t="s">
        <v>156</v>
      </c>
      <c r="C126" s="325">
        <v>2862</v>
      </c>
      <c r="D126" s="270">
        <v>9.36</v>
      </c>
      <c r="E126" s="185"/>
      <c r="G126" s="272">
        <v>1659.8628200000001</v>
      </c>
      <c r="H126" s="272">
        <v>8664.9655000000002</v>
      </c>
      <c r="I126" s="272"/>
      <c r="J126" s="272">
        <v>5332.8798399999996</v>
      </c>
      <c r="K126" s="272">
        <v>360.97571999999997</v>
      </c>
      <c r="L126" s="272">
        <v>984.19031000000007</v>
      </c>
      <c r="M126" s="272">
        <v>6678.0458699999999</v>
      </c>
      <c r="N126" s="272">
        <v>2014.7750000000001</v>
      </c>
      <c r="O126" s="272">
        <v>14.6371</v>
      </c>
      <c r="P126" s="272">
        <v>95.654809999999998</v>
      </c>
      <c r="Q126" s="272">
        <v>30.01595</v>
      </c>
      <c r="R126" s="272">
        <v>10.02773</v>
      </c>
      <c r="S126" s="272">
        <v>1628.1481299999998</v>
      </c>
      <c r="U126" s="272">
        <v>630.01529000000005</v>
      </c>
      <c r="V126" s="272">
        <v>0</v>
      </c>
      <c r="W126" s="272">
        <v>0</v>
      </c>
      <c r="X126" s="272">
        <v>998.13283999999999</v>
      </c>
      <c r="Y126" s="272">
        <v>0</v>
      </c>
      <c r="Z126" s="272">
        <v>0</v>
      </c>
      <c r="AA126" s="272">
        <v>0</v>
      </c>
      <c r="AB126" s="272">
        <v>998.13283999999999</v>
      </c>
      <c r="AD126" s="272">
        <v>-453.92842999999993</v>
      </c>
      <c r="AE126" s="157">
        <v>1617.7887700000001</v>
      </c>
      <c r="AF126" s="184">
        <v>-10.359360000000001</v>
      </c>
      <c r="AG126" s="272">
        <v>-186.51328000000001</v>
      </c>
      <c r="AH126" s="272">
        <v>17.842359999999999</v>
      </c>
      <c r="AI126" s="184">
        <v>15.2</v>
      </c>
      <c r="AJ126" s="272">
        <v>723.34514000000001</v>
      </c>
      <c r="AL126" s="272">
        <v>5738.509</v>
      </c>
      <c r="AM126" s="184">
        <v>5</v>
      </c>
      <c r="AN126" s="272">
        <v>-694.76199999999994</v>
      </c>
      <c r="AO126" s="343">
        <v>2849</v>
      </c>
      <c r="AP126" s="332">
        <v>9.8999999999999986</v>
      </c>
      <c r="AQ126" s="448"/>
      <c r="AS126" s="455">
        <v>1368.0877700000001</v>
      </c>
      <c r="AT126" s="272">
        <v>8454.7794400000002</v>
      </c>
      <c r="AU126" s="450"/>
      <c r="AV126" s="334">
        <v>5744.5324800000008</v>
      </c>
      <c r="AW126" s="334">
        <v>308.49218999999999</v>
      </c>
      <c r="AX126" s="334">
        <v>1197.93778</v>
      </c>
      <c r="AY126" s="334">
        <v>7250.96245</v>
      </c>
      <c r="AZ126" s="334">
        <v>1394.934</v>
      </c>
      <c r="BA126" s="272">
        <v>18.942119999999999</v>
      </c>
      <c r="BB126" s="333">
        <v>108.65519</v>
      </c>
      <c r="BC126" s="272">
        <v>29.14828</v>
      </c>
      <c r="BD126" s="272">
        <v>14.20439</v>
      </c>
      <c r="BE126" s="334">
        <v>1491.8709899999999</v>
      </c>
      <c r="BG126" s="331">
        <v>623.25353000000007</v>
      </c>
      <c r="BH126" s="331">
        <v>0</v>
      </c>
      <c r="BI126" s="331">
        <v>0</v>
      </c>
      <c r="BJ126" s="334">
        <v>868.61745999999994</v>
      </c>
      <c r="BK126" s="331">
        <v>0</v>
      </c>
      <c r="BL126" s="331">
        <v>0</v>
      </c>
      <c r="BM126" s="331">
        <v>0</v>
      </c>
      <c r="BN126" s="334">
        <v>868.61745999999994</v>
      </c>
      <c r="BP126" s="334">
        <v>414.68902999999995</v>
      </c>
      <c r="BQ126" s="311">
        <v>1545.2412400000001</v>
      </c>
      <c r="BR126" s="272">
        <v>53.370249999999999</v>
      </c>
      <c r="BS126" s="461">
        <v>-114.87655000000001</v>
      </c>
      <c r="BT126" s="272">
        <v>15</v>
      </c>
      <c r="BU126" s="272">
        <v>3.6588000000000003</v>
      </c>
      <c r="BV126" s="333">
        <v>1243.5638200000001</v>
      </c>
      <c r="BX126" s="272">
        <v>4865.7470000000003</v>
      </c>
      <c r="BY126" s="469">
        <v>-0.46</v>
      </c>
      <c r="BZ126" s="469">
        <v>-872.76199999999994</v>
      </c>
      <c r="CA126" s="552"/>
      <c r="CB126" s="335">
        <v>9.9</v>
      </c>
      <c r="CC126" s="471">
        <f t="shared" si="1"/>
        <v>9.9</v>
      </c>
      <c r="CD126" s="558"/>
      <c r="CE126" s="272"/>
      <c r="CF126" s="262"/>
      <c r="CI126" s="158">
        <v>0</v>
      </c>
      <c r="CJ126" s="331">
        <v>1498.6504626104872</v>
      </c>
      <c r="CK126" s="331">
        <v>1510.5905272809302</v>
      </c>
      <c r="CL126" s="331">
        <v>1857.1588540006262</v>
      </c>
      <c r="CM126" s="472">
        <v>2002.7939918766795</v>
      </c>
      <c r="CN126" s="472">
        <v>1920.1490803098875</v>
      </c>
      <c r="CO126" s="480">
        <v>-633.50099999999998</v>
      </c>
      <c r="CP126" s="557"/>
      <c r="CQ126" s="474">
        <v>8.6903600000000001</v>
      </c>
      <c r="CR126" s="474">
        <v>0</v>
      </c>
    </row>
    <row r="127" spans="1:96" x14ac:dyDescent="0.2">
      <c r="A127" s="154">
        <v>418</v>
      </c>
      <c r="B127" s="156" t="s">
        <v>157</v>
      </c>
      <c r="C127" s="325">
        <v>24711</v>
      </c>
      <c r="D127" s="270">
        <v>7.86</v>
      </c>
      <c r="E127" s="185"/>
      <c r="G127" s="272">
        <v>15508.64156</v>
      </c>
      <c r="H127" s="272">
        <v>87486.655209999997</v>
      </c>
      <c r="I127" s="272"/>
      <c r="J127" s="272">
        <v>51653.214110000001</v>
      </c>
      <c r="K127" s="272">
        <v>5359.7432099999996</v>
      </c>
      <c r="L127" s="272">
        <v>6854.6076800000001</v>
      </c>
      <c r="M127" s="272">
        <v>63867.565000000002</v>
      </c>
      <c r="N127" s="272">
        <v>22291.481</v>
      </c>
      <c r="O127" s="272">
        <v>364.18379999999996</v>
      </c>
      <c r="P127" s="272">
        <v>1880.97894</v>
      </c>
      <c r="Q127" s="272">
        <v>595.11934999999994</v>
      </c>
      <c r="R127" s="272">
        <v>3.2928200000000003</v>
      </c>
      <c r="S127" s="272">
        <v>13256.06374</v>
      </c>
      <c r="U127" s="272">
        <v>10076.65423</v>
      </c>
      <c r="V127" s="272">
        <v>0</v>
      </c>
      <c r="W127" s="272">
        <v>0</v>
      </c>
      <c r="X127" s="272">
        <v>3179.40951</v>
      </c>
      <c r="Y127" s="272">
        <v>912.95007999999996</v>
      </c>
      <c r="Z127" s="272">
        <v>719.19159000000002</v>
      </c>
      <c r="AA127" s="272">
        <v>0</v>
      </c>
      <c r="AB127" s="272">
        <v>1547.26784</v>
      </c>
      <c r="AD127" s="272">
        <v>34624.145680000001</v>
      </c>
      <c r="AE127" s="157">
        <v>12753.883260000001</v>
      </c>
      <c r="AF127" s="184">
        <v>-502.18047999999999</v>
      </c>
      <c r="AG127" s="272">
        <v>-17220.501359999998</v>
      </c>
      <c r="AH127" s="272">
        <v>404.99205000000001</v>
      </c>
      <c r="AI127" s="184">
        <v>700.23828000000003</v>
      </c>
      <c r="AJ127" s="272">
        <v>3043.9986099999996</v>
      </c>
      <c r="AL127" s="272">
        <v>91617.970850000012</v>
      </c>
      <c r="AM127" s="184">
        <v>-7.3384</v>
      </c>
      <c r="AN127" s="272">
        <v>2703.0011099999997</v>
      </c>
      <c r="AO127" s="343">
        <v>24855</v>
      </c>
      <c r="AP127" s="332">
        <v>8.4</v>
      </c>
      <c r="AQ127" s="448"/>
      <c r="AS127" s="455">
        <v>14782.59103</v>
      </c>
      <c r="AT127" s="272">
        <v>87580.836609999998</v>
      </c>
      <c r="AU127" s="450"/>
      <c r="AV127" s="334">
        <v>51669.90137</v>
      </c>
      <c r="AW127" s="334">
        <v>4060.30447</v>
      </c>
      <c r="AX127" s="334">
        <v>7535.7818200000002</v>
      </c>
      <c r="AY127" s="334">
        <v>63265.987659999999</v>
      </c>
      <c r="AZ127" s="334">
        <v>19398.848000000002</v>
      </c>
      <c r="BA127" s="272">
        <v>685.99698000000001</v>
      </c>
      <c r="BB127" s="333">
        <v>2631.1266499999997</v>
      </c>
      <c r="BC127" s="272">
        <v>819.32092</v>
      </c>
      <c r="BD127" s="272">
        <v>67.038619999999995</v>
      </c>
      <c r="BE127" s="334">
        <v>8673.7427100000004</v>
      </c>
      <c r="BG127" s="331">
        <v>10500.81086</v>
      </c>
      <c r="BH127" s="331">
        <v>0</v>
      </c>
      <c r="BI127" s="331">
        <v>0</v>
      </c>
      <c r="BJ127" s="334">
        <v>-1827.0681499999998</v>
      </c>
      <c r="BK127" s="334">
        <v>-552.84407999999996</v>
      </c>
      <c r="BL127" s="331">
        <v>-1200</v>
      </c>
      <c r="BM127" s="331">
        <v>0</v>
      </c>
      <c r="BN127" s="334">
        <v>-74.224070000000012</v>
      </c>
      <c r="BP127" s="334">
        <v>34959.563909999997</v>
      </c>
      <c r="BQ127" s="311">
        <v>8224.5499299999992</v>
      </c>
      <c r="BR127" s="272">
        <v>-449.19278000000003</v>
      </c>
      <c r="BS127" s="461">
        <v>-35784.977759999994</v>
      </c>
      <c r="BT127" s="272">
        <v>1211.5516399999999</v>
      </c>
      <c r="BU127" s="272">
        <v>529.75519999999995</v>
      </c>
      <c r="BV127" s="333">
        <v>2417.2163899999996</v>
      </c>
      <c r="BX127" s="272">
        <v>117183.72692</v>
      </c>
      <c r="BY127" s="469">
        <v>-26.371860000000002</v>
      </c>
      <c r="BZ127" s="469">
        <v>25565.756069999999</v>
      </c>
      <c r="CA127" s="555"/>
      <c r="CB127" s="335">
        <v>8.4</v>
      </c>
      <c r="CC127" s="471">
        <f t="shared" si="1"/>
        <v>8.4</v>
      </c>
      <c r="CD127" s="558"/>
      <c r="CE127" s="272"/>
      <c r="CF127" s="262"/>
      <c r="CI127" s="158">
        <v>0</v>
      </c>
      <c r="CJ127" s="331">
        <v>19600.438576803852</v>
      </c>
      <c r="CK127" s="331">
        <v>19958.137552260687</v>
      </c>
      <c r="CL127" s="331">
        <v>20689.811166810861</v>
      </c>
      <c r="CM127" s="472">
        <v>22176.304077230805</v>
      </c>
      <c r="CN127" s="472">
        <v>22503.784057055596</v>
      </c>
      <c r="CO127" s="480">
        <v>-2454.48</v>
      </c>
      <c r="CP127" s="557"/>
      <c r="CQ127" s="474">
        <v>0</v>
      </c>
      <c r="CR127" s="474">
        <v>0</v>
      </c>
    </row>
    <row r="128" spans="1:96" x14ac:dyDescent="0.2">
      <c r="A128" s="154">
        <v>420</v>
      </c>
      <c r="B128" s="156" t="s">
        <v>158</v>
      </c>
      <c r="C128" s="325">
        <v>9049</v>
      </c>
      <c r="D128" s="270">
        <v>8.36</v>
      </c>
      <c r="E128" s="185"/>
      <c r="G128" s="272">
        <v>8295.9004800000002</v>
      </c>
      <c r="H128" s="272">
        <v>29048.421719999998</v>
      </c>
      <c r="I128" s="272"/>
      <c r="J128" s="272">
        <v>15756.42993</v>
      </c>
      <c r="K128" s="272">
        <v>2630.5432400000004</v>
      </c>
      <c r="L128" s="272">
        <v>2935.6815000000001</v>
      </c>
      <c r="M128" s="272">
        <v>21322.654670000004</v>
      </c>
      <c r="N128" s="272">
        <v>5454.8310499999998</v>
      </c>
      <c r="O128" s="272">
        <v>45.316580000000002</v>
      </c>
      <c r="P128" s="272">
        <v>88.310980000000001</v>
      </c>
      <c r="Q128" s="272">
        <v>1162.3931399999999</v>
      </c>
      <c r="R128" s="272">
        <v>3.1709299999999998</v>
      </c>
      <c r="S128" s="272">
        <v>7141.19229</v>
      </c>
      <c r="U128" s="272">
        <v>3717.5581400000001</v>
      </c>
      <c r="V128" s="272">
        <v>0</v>
      </c>
      <c r="W128" s="272">
        <v>0</v>
      </c>
      <c r="X128" s="272">
        <v>3423.6341499999999</v>
      </c>
      <c r="Y128" s="272">
        <v>-276.20830999999998</v>
      </c>
      <c r="Z128" s="272">
        <v>3400</v>
      </c>
      <c r="AA128" s="272">
        <v>0</v>
      </c>
      <c r="AB128" s="272">
        <v>299.84246000000002</v>
      </c>
      <c r="AD128" s="272">
        <v>2161.7892700000002</v>
      </c>
      <c r="AE128" s="157">
        <v>6165.3305199999995</v>
      </c>
      <c r="AF128" s="184">
        <v>-975.86176999999998</v>
      </c>
      <c r="AG128" s="272">
        <v>-1926.2752</v>
      </c>
      <c r="AH128" s="272">
        <v>0</v>
      </c>
      <c r="AI128" s="184">
        <v>57.35</v>
      </c>
      <c r="AJ128" s="272">
        <v>9974.4666400000006</v>
      </c>
      <c r="AL128" s="272">
        <v>4107.8780499999993</v>
      </c>
      <c r="AM128" s="184">
        <v>99.093949999999992</v>
      </c>
      <c r="AN128" s="272">
        <v>-676.58695</v>
      </c>
      <c r="AO128" s="343">
        <v>8971</v>
      </c>
      <c r="AP128" s="332">
        <v>8.4</v>
      </c>
      <c r="AQ128" s="448"/>
      <c r="AS128" s="455">
        <v>8365.6874299999999</v>
      </c>
      <c r="AT128" s="272">
        <v>29182.718949999999</v>
      </c>
      <c r="AU128" s="450"/>
      <c r="AV128" s="334">
        <v>15579.69276</v>
      </c>
      <c r="AW128" s="334">
        <v>2129.5342300000002</v>
      </c>
      <c r="AX128" s="334">
        <v>3127.4166</v>
      </c>
      <c r="AY128" s="334">
        <v>20836.64359</v>
      </c>
      <c r="AZ128" s="334">
        <v>4566.6643700000004</v>
      </c>
      <c r="BA128" s="272">
        <v>126.34455</v>
      </c>
      <c r="BB128" s="333">
        <v>85.432259999999999</v>
      </c>
      <c r="BC128" s="272">
        <v>1613.6690100000001</v>
      </c>
      <c r="BD128" s="272">
        <v>5.0622700000000007</v>
      </c>
      <c r="BE128" s="334">
        <v>6236.2754699999996</v>
      </c>
      <c r="BG128" s="331">
        <v>3059.1690800000001</v>
      </c>
      <c r="BH128" s="331">
        <v>0</v>
      </c>
      <c r="BI128" s="331">
        <v>0</v>
      </c>
      <c r="BJ128" s="334">
        <v>3177.1063899999999</v>
      </c>
      <c r="BK128" s="334">
        <v>-230.90639999999999</v>
      </c>
      <c r="BL128" s="334">
        <v>3150</v>
      </c>
      <c r="BM128" s="331">
        <v>0</v>
      </c>
      <c r="BN128" s="334">
        <v>258.01279</v>
      </c>
      <c r="BP128" s="334">
        <v>2419.80206</v>
      </c>
      <c r="BQ128" s="311">
        <v>5157.2781399999994</v>
      </c>
      <c r="BR128" s="272">
        <v>-1078.9973300000001</v>
      </c>
      <c r="BS128" s="461">
        <v>-8787.458630000001</v>
      </c>
      <c r="BT128" s="272">
        <v>316.63565</v>
      </c>
      <c r="BU128" s="272">
        <v>61.32</v>
      </c>
      <c r="BV128" s="333">
        <v>11477.983400000001</v>
      </c>
      <c r="BX128" s="272">
        <v>8114.0274400000008</v>
      </c>
      <c r="BY128" s="469">
        <v>-285</v>
      </c>
      <c r="BZ128" s="469">
        <v>4006.14939</v>
      </c>
      <c r="CA128" s="552"/>
      <c r="CB128" s="335">
        <v>8.4</v>
      </c>
      <c r="CC128" s="471">
        <f t="shared" si="1"/>
        <v>8.4</v>
      </c>
      <c r="CD128" s="558"/>
      <c r="CE128" s="272"/>
      <c r="CF128" s="262"/>
      <c r="CI128" s="158">
        <v>0</v>
      </c>
      <c r="CJ128" s="331">
        <v>5079.9831150523196</v>
      </c>
      <c r="CK128" s="331">
        <v>4878.6661568056743</v>
      </c>
      <c r="CL128" s="331">
        <v>5347.7457399860859</v>
      </c>
      <c r="CM128" s="472">
        <v>5636.2119746936896</v>
      </c>
      <c r="CN128" s="472">
        <v>5764.6979573745148</v>
      </c>
      <c r="CO128" s="480">
        <v>-1118.1020000000001</v>
      </c>
      <c r="CP128" s="557"/>
      <c r="CQ128" s="474">
        <v>0</v>
      </c>
      <c r="CR128" s="474">
        <v>0.48</v>
      </c>
    </row>
    <row r="129" spans="1:96" x14ac:dyDescent="0.2">
      <c r="A129" s="154">
        <v>421</v>
      </c>
      <c r="B129" s="156" t="s">
        <v>159</v>
      </c>
      <c r="C129" s="325">
        <v>682</v>
      </c>
      <c r="D129" s="270">
        <v>8.36</v>
      </c>
      <c r="E129" s="185"/>
      <c r="G129" s="272">
        <v>2994.9056</v>
      </c>
      <c r="H129" s="272">
        <v>5945.2885199999992</v>
      </c>
      <c r="I129" s="272"/>
      <c r="J129" s="272">
        <v>880.11967000000004</v>
      </c>
      <c r="K129" s="272">
        <v>381.53002000000004</v>
      </c>
      <c r="L129" s="272">
        <v>417.22403000000003</v>
      </c>
      <c r="M129" s="272">
        <v>1678.87372</v>
      </c>
      <c r="N129" s="272">
        <v>931.93399999999997</v>
      </c>
      <c r="O129" s="272">
        <v>0</v>
      </c>
      <c r="P129" s="272">
        <v>165.99423999999999</v>
      </c>
      <c r="Q129" s="272">
        <v>14.272200000000002</v>
      </c>
      <c r="R129" s="272">
        <v>4.6576700000000004</v>
      </c>
      <c r="S129" s="272">
        <v>-495.95490999999998</v>
      </c>
      <c r="U129" s="272">
        <v>578.96283999999991</v>
      </c>
      <c r="V129" s="272">
        <v>0</v>
      </c>
      <c r="W129" s="272">
        <v>0</v>
      </c>
      <c r="X129" s="272">
        <v>-1074.9177500000001</v>
      </c>
      <c r="Y129" s="272">
        <v>0</v>
      </c>
      <c r="Z129" s="272">
        <v>0</v>
      </c>
      <c r="AA129" s="272">
        <v>0</v>
      </c>
      <c r="AB129" s="272">
        <v>-1074.9177500000001</v>
      </c>
      <c r="AD129" s="272">
        <v>-2715.4408700000004</v>
      </c>
      <c r="AE129" s="157">
        <v>-495.95490999999998</v>
      </c>
      <c r="AF129" s="184">
        <v>0</v>
      </c>
      <c r="AG129" s="272">
        <v>-106.3</v>
      </c>
      <c r="AH129" s="272">
        <v>30.8</v>
      </c>
      <c r="AI129" s="184">
        <v>0</v>
      </c>
      <c r="AJ129" s="272">
        <v>1132</v>
      </c>
      <c r="AL129" s="272">
        <v>10606.841100000001</v>
      </c>
      <c r="AM129" s="184">
        <v>0</v>
      </c>
      <c r="AN129" s="272">
        <v>0</v>
      </c>
      <c r="AO129" s="343">
        <v>665</v>
      </c>
      <c r="AP129" s="332">
        <v>9.4</v>
      </c>
      <c r="AQ129" s="448"/>
      <c r="AS129" s="455">
        <v>3378.7677999999996</v>
      </c>
      <c r="AT129" s="272">
        <v>5933.0839400000004</v>
      </c>
      <c r="AU129" s="450"/>
      <c r="AV129" s="334">
        <v>1081.60401</v>
      </c>
      <c r="AW129" s="334">
        <v>308.04003999999998</v>
      </c>
      <c r="AX129" s="334">
        <v>690.79858999999999</v>
      </c>
      <c r="AY129" s="334">
        <v>2080.4426399999998</v>
      </c>
      <c r="AZ129" s="334">
        <v>1492.095</v>
      </c>
      <c r="BA129" s="272">
        <v>85.49275999999999</v>
      </c>
      <c r="BB129" s="333">
        <v>314.41334000000001</v>
      </c>
      <c r="BC129" s="272">
        <v>6.1147200000000002</v>
      </c>
      <c r="BD129" s="272">
        <v>2.3502199999999998</v>
      </c>
      <c r="BE129" s="334">
        <v>793.06542000000002</v>
      </c>
      <c r="BG129" s="331">
        <v>495.65732000000003</v>
      </c>
      <c r="BH129" s="334">
        <v>0</v>
      </c>
      <c r="BI129" s="331">
        <v>0</v>
      </c>
      <c r="BJ129" s="334">
        <v>297.40809999999999</v>
      </c>
      <c r="BK129" s="331">
        <v>0</v>
      </c>
      <c r="BL129" s="331">
        <v>0</v>
      </c>
      <c r="BM129" s="331">
        <v>0</v>
      </c>
      <c r="BN129" s="334">
        <v>297.40809999999999</v>
      </c>
      <c r="BP129" s="334">
        <v>-2418.0327699999998</v>
      </c>
      <c r="BQ129" s="550">
        <v>793.06542000000002</v>
      </c>
      <c r="BR129" s="548">
        <v>0</v>
      </c>
      <c r="BS129" s="547">
        <v>-79.428989999999999</v>
      </c>
      <c r="BT129" s="548">
        <v>0</v>
      </c>
      <c r="BU129" s="548">
        <v>5.7275200000000002</v>
      </c>
      <c r="BV129" s="549">
        <v>1326.73018</v>
      </c>
      <c r="BX129" s="272">
        <v>10203.43226</v>
      </c>
      <c r="BY129" s="469">
        <v>0</v>
      </c>
      <c r="BZ129" s="469">
        <v>-403.40884</v>
      </c>
      <c r="CA129" s="552"/>
      <c r="CB129" s="335">
        <v>9.4</v>
      </c>
      <c r="CC129" s="471">
        <f t="shared" si="1"/>
        <v>9.4</v>
      </c>
      <c r="CD129" s="558"/>
      <c r="CE129" s="272"/>
      <c r="CF129" s="262"/>
      <c r="CI129" s="158">
        <v>130</v>
      </c>
      <c r="CJ129" s="331">
        <v>1394.3474389909429</v>
      </c>
      <c r="CK129" s="331">
        <v>1176.9650172013435</v>
      </c>
      <c r="CL129" s="331">
        <v>1213.7122431383775</v>
      </c>
      <c r="CM129" s="472">
        <v>1299.9205341650413</v>
      </c>
      <c r="CN129" s="472">
        <v>1365.5624857975497</v>
      </c>
      <c r="CO129" s="480">
        <v>-128.10900000000001</v>
      </c>
      <c r="CP129" s="557"/>
      <c r="CQ129" s="474">
        <v>0</v>
      </c>
      <c r="CR129" s="474">
        <v>0</v>
      </c>
    </row>
    <row r="130" spans="1:96" x14ac:dyDescent="0.2">
      <c r="A130" s="154">
        <v>422</v>
      </c>
      <c r="B130" s="156" t="s">
        <v>160</v>
      </c>
      <c r="C130" s="325">
        <v>10228</v>
      </c>
      <c r="D130" s="270">
        <v>8.36</v>
      </c>
      <c r="E130" s="185"/>
      <c r="G130" s="272">
        <v>7955.7063500000004</v>
      </c>
      <c r="H130" s="272">
        <v>33313.574329999996</v>
      </c>
      <c r="I130" s="272"/>
      <c r="J130" s="272">
        <v>15958.48214</v>
      </c>
      <c r="K130" s="272">
        <v>3939.8025499999999</v>
      </c>
      <c r="L130" s="272">
        <v>3603.2465400000001</v>
      </c>
      <c r="M130" s="272">
        <v>23501.531230000001</v>
      </c>
      <c r="N130" s="272">
        <v>8852.9220000000005</v>
      </c>
      <c r="O130" s="272">
        <v>662.06203000000005</v>
      </c>
      <c r="P130" s="272">
        <v>37.895180000000003</v>
      </c>
      <c r="Q130" s="272">
        <v>630.16555000000005</v>
      </c>
      <c r="R130" s="272">
        <v>-82.59348</v>
      </c>
      <c r="S130" s="272">
        <v>9771.6360000000004</v>
      </c>
      <c r="U130" s="272">
        <v>5719.2814699999999</v>
      </c>
      <c r="V130" s="272">
        <v>0</v>
      </c>
      <c r="W130" s="272">
        <v>0</v>
      </c>
      <c r="X130" s="272">
        <v>4052.3545299999996</v>
      </c>
      <c r="Y130" s="272">
        <v>-443.45294999999999</v>
      </c>
      <c r="Z130" s="272">
        <v>2800</v>
      </c>
      <c r="AA130" s="272">
        <v>0</v>
      </c>
      <c r="AB130" s="272">
        <v>1695.8074799999999</v>
      </c>
      <c r="AD130" s="272">
        <v>30335.853199999998</v>
      </c>
      <c r="AE130" s="157">
        <v>9803.650599999999</v>
      </c>
      <c r="AF130" s="184">
        <v>32.014600000000002</v>
      </c>
      <c r="AG130" s="272">
        <v>-4525.9544999999998</v>
      </c>
      <c r="AH130" s="272">
        <v>452.76</v>
      </c>
      <c r="AI130" s="184">
        <v>92.443550000000002</v>
      </c>
      <c r="AJ130" s="272">
        <v>9408.94283</v>
      </c>
      <c r="AL130" s="272">
        <v>2425</v>
      </c>
      <c r="AM130" s="184">
        <v>-6.12</v>
      </c>
      <c r="AN130" s="272">
        <v>-850</v>
      </c>
      <c r="AO130" s="343">
        <v>10049</v>
      </c>
      <c r="AP130" s="332">
        <v>8.4</v>
      </c>
      <c r="AQ130" s="448"/>
      <c r="AS130" s="455">
        <v>8249.4416600000004</v>
      </c>
      <c r="AT130" s="272">
        <v>34992.555560000001</v>
      </c>
      <c r="AU130" s="450"/>
      <c r="AV130" s="334">
        <v>15428.721210000002</v>
      </c>
      <c r="AW130" s="334">
        <v>4268.7010700000001</v>
      </c>
      <c r="AX130" s="334">
        <v>3917.19967</v>
      </c>
      <c r="AY130" s="334">
        <v>23614.621950000001</v>
      </c>
      <c r="AZ130" s="334">
        <v>5916.6009999999997</v>
      </c>
      <c r="BA130" s="272">
        <v>888.44029</v>
      </c>
      <c r="BB130" s="333">
        <v>20.286529999999999</v>
      </c>
      <c r="BC130" s="272">
        <v>649.30388000000005</v>
      </c>
      <c r="BD130" s="272">
        <v>2088.8838799999999</v>
      </c>
      <c r="BE130" s="334">
        <v>5364.1651300000003</v>
      </c>
      <c r="BG130" s="331">
        <v>3791.84247</v>
      </c>
      <c r="BH130" s="331">
        <v>0</v>
      </c>
      <c r="BI130" s="331">
        <v>0</v>
      </c>
      <c r="BJ130" s="334">
        <v>1572.3226599999998</v>
      </c>
      <c r="BK130" s="331">
        <v>1644.63194</v>
      </c>
      <c r="BL130" s="331">
        <v>-1000</v>
      </c>
      <c r="BM130" s="334">
        <v>0</v>
      </c>
      <c r="BN130" s="334">
        <v>927.69071999999994</v>
      </c>
      <c r="BP130" s="334">
        <v>31263.543919999996</v>
      </c>
      <c r="BQ130" s="311">
        <v>5414.1113099999993</v>
      </c>
      <c r="BR130" s="272">
        <v>49.946179999999998</v>
      </c>
      <c r="BS130" s="461">
        <v>-4478.6701399999993</v>
      </c>
      <c r="BT130" s="272">
        <v>521.51</v>
      </c>
      <c r="BU130" s="272">
        <v>99.290559999999999</v>
      </c>
      <c r="BV130" s="333">
        <v>8659.9666500000003</v>
      </c>
      <c r="BX130" s="272">
        <v>1618.91184</v>
      </c>
      <c r="BY130" s="469">
        <v>0</v>
      </c>
      <c r="BZ130" s="469">
        <v>-806.08816000000002</v>
      </c>
      <c r="CA130" s="552"/>
      <c r="CB130" s="335">
        <v>8.4</v>
      </c>
      <c r="CC130" s="471">
        <f t="shared" si="1"/>
        <v>8.4</v>
      </c>
      <c r="CD130" s="558"/>
      <c r="CE130" s="272"/>
      <c r="CF130" s="262"/>
      <c r="CI130" s="158">
        <v>0</v>
      </c>
      <c r="CJ130" s="331">
        <v>7824.7064747049499</v>
      </c>
      <c r="CK130" s="331">
        <v>6385.5762393433679</v>
      </c>
      <c r="CL130" s="331">
        <v>7242.2246649032031</v>
      </c>
      <c r="CM130" s="472">
        <v>8453.8150419666745</v>
      </c>
      <c r="CN130" s="472">
        <v>8739.6988836801738</v>
      </c>
      <c r="CO130" s="480">
        <v>-150.85499999999999</v>
      </c>
      <c r="CP130" s="557"/>
      <c r="CQ130" s="474">
        <v>1438.1248700000001</v>
      </c>
      <c r="CR130" s="474">
        <v>3147.4823199999996</v>
      </c>
    </row>
    <row r="131" spans="1:96" x14ac:dyDescent="0.2">
      <c r="A131" s="154">
        <v>423</v>
      </c>
      <c r="B131" s="156" t="s">
        <v>161</v>
      </c>
      <c r="C131" s="325">
        <v>20637</v>
      </c>
      <c r="D131" s="270">
        <v>6.8600000000000012</v>
      </c>
      <c r="E131" s="185"/>
      <c r="G131" s="272">
        <v>18250.60122</v>
      </c>
      <c r="H131" s="272">
        <v>66264.054940000002</v>
      </c>
      <c r="I131" s="272"/>
      <c r="J131" s="272">
        <v>37578.677950000005</v>
      </c>
      <c r="K131" s="272">
        <v>4678.6912999999995</v>
      </c>
      <c r="L131" s="272">
        <v>4778.2708400000001</v>
      </c>
      <c r="M131" s="272">
        <v>47035.640090000001</v>
      </c>
      <c r="N131" s="272">
        <v>16421.075000000001</v>
      </c>
      <c r="O131" s="272">
        <v>153.96548999999999</v>
      </c>
      <c r="P131" s="272">
        <v>787.10135000000002</v>
      </c>
      <c r="Q131" s="272">
        <v>307.59555</v>
      </c>
      <c r="R131" s="272">
        <v>3.7726299999999999</v>
      </c>
      <c r="S131" s="272">
        <v>15113.94843</v>
      </c>
      <c r="U131" s="272">
        <v>8404.3708299999998</v>
      </c>
      <c r="V131" s="272">
        <v>0</v>
      </c>
      <c r="W131" s="272">
        <v>0</v>
      </c>
      <c r="X131" s="272">
        <v>6709.5775999999996</v>
      </c>
      <c r="Y131" s="272">
        <v>-5.0456400000000006</v>
      </c>
      <c r="Z131" s="272">
        <v>4000</v>
      </c>
      <c r="AA131" s="272">
        <v>0</v>
      </c>
      <c r="AB131" s="272">
        <v>2714.6232400000004</v>
      </c>
      <c r="AD131" s="272">
        <v>18113.281189999998</v>
      </c>
      <c r="AE131" s="157">
        <v>13012.87657</v>
      </c>
      <c r="AF131" s="184">
        <v>-2101.07186</v>
      </c>
      <c r="AG131" s="272">
        <v>-13125.301660000001</v>
      </c>
      <c r="AH131" s="272">
        <v>1218.61644</v>
      </c>
      <c r="AI131" s="184">
        <v>2589.1876200000002</v>
      </c>
      <c r="AJ131" s="272">
        <v>3622.4276199999999</v>
      </c>
      <c r="AL131" s="272">
        <v>53112.482000000004</v>
      </c>
      <c r="AM131" s="184">
        <v>18.103080000000002</v>
      </c>
      <c r="AN131" s="272">
        <v>-8382.6756600000008</v>
      </c>
      <c r="AO131" s="343">
        <v>20666</v>
      </c>
      <c r="AP131" s="332">
        <v>6.9</v>
      </c>
      <c r="AQ131" s="448"/>
      <c r="AS131" s="455">
        <v>17415.945460000003</v>
      </c>
      <c r="AT131" s="272">
        <v>67836.76284000001</v>
      </c>
      <c r="AU131" s="450"/>
      <c r="AV131" s="334">
        <v>35912.229270000003</v>
      </c>
      <c r="AW131" s="334">
        <v>3721.5687799999996</v>
      </c>
      <c r="AX131" s="334">
        <v>5603.42551</v>
      </c>
      <c r="AY131" s="334">
        <v>45237.223560000006</v>
      </c>
      <c r="AZ131" s="334">
        <v>16132.603999999999</v>
      </c>
      <c r="BA131" s="272">
        <v>100.70842</v>
      </c>
      <c r="BB131" s="333">
        <v>1253.89895</v>
      </c>
      <c r="BC131" s="272">
        <v>729.01085</v>
      </c>
      <c r="BD131" s="272">
        <v>6.8643400000000003</v>
      </c>
      <c r="BE131" s="334">
        <v>10517.96616</v>
      </c>
      <c r="BG131" s="331">
        <v>9323.8203900000008</v>
      </c>
      <c r="BH131" s="331">
        <v>0</v>
      </c>
      <c r="BI131" s="331">
        <v>0</v>
      </c>
      <c r="BJ131" s="334">
        <v>1194.1457700000001</v>
      </c>
      <c r="BK131" s="331">
        <v>-5.0456400000000006</v>
      </c>
      <c r="BL131" s="331">
        <v>0</v>
      </c>
      <c r="BM131" s="331">
        <v>0</v>
      </c>
      <c r="BN131" s="334">
        <v>1199.1914099999999</v>
      </c>
      <c r="BP131" s="334">
        <v>19244.243589999998</v>
      </c>
      <c r="BQ131" s="311">
        <v>9780.9672599999994</v>
      </c>
      <c r="BR131" s="272">
        <v>-736.99890000000005</v>
      </c>
      <c r="BS131" s="461">
        <v>-19340.507399999999</v>
      </c>
      <c r="BT131" s="272">
        <v>75.290399999999991</v>
      </c>
      <c r="BU131" s="272">
        <v>1192.47415</v>
      </c>
      <c r="BV131" s="333">
        <v>3143.7409400000001</v>
      </c>
      <c r="BX131" s="272">
        <v>63756.945</v>
      </c>
      <c r="BY131" s="469">
        <v>18.103080000000002</v>
      </c>
      <c r="BZ131" s="469">
        <v>10644.463</v>
      </c>
      <c r="CA131" s="552"/>
      <c r="CB131" s="335">
        <v>7.1</v>
      </c>
      <c r="CC131" s="471">
        <f t="shared" si="1"/>
        <v>7.1</v>
      </c>
      <c r="CD131" s="558"/>
      <c r="CE131" s="272"/>
      <c r="CF131" s="262"/>
      <c r="CI131" s="158">
        <v>0</v>
      </c>
      <c r="CJ131" s="331">
        <v>16185.408310216384</v>
      </c>
      <c r="CK131" s="331">
        <v>16222.309170763119</v>
      </c>
      <c r="CL131" s="331">
        <v>15854.880380756133</v>
      </c>
      <c r="CM131" s="472">
        <v>17338.830724404386</v>
      </c>
      <c r="CN131" s="472">
        <v>16893.556602228007</v>
      </c>
      <c r="CO131" s="480">
        <v>-2377.0419999999999</v>
      </c>
      <c r="CP131" s="557"/>
      <c r="CQ131" s="474">
        <v>0</v>
      </c>
      <c r="CR131" s="474">
        <v>0</v>
      </c>
    </row>
    <row r="132" spans="1:96" x14ac:dyDescent="0.2">
      <c r="A132" s="154">
        <v>425</v>
      </c>
      <c r="B132" s="156" t="s">
        <v>162</v>
      </c>
      <c r="C132" s="325">
        <v>10256</v>
      </c>
      <c r="D132" s="270">
        <v>8.86</v>
      </c>
      <c r="E132" s="185"/>
      <c r="G132" s="272">
        <v>5164.8670300000003</v>
      </c>
      <c r="H132" s="272">
        <v>44024.994659999997</v>
      </c>
      <c r="I132" s="272"/>
      <c r="J132" s="272">
        <v>19099.84647</v>
      </c>
      <c r="K132" s="272">
        <v>1051.90426</v>
      </c>
      <c r="L132" s="272">
        <v>1791.5025700000001</v>
      </c>
      <c r="M132" s="272">
        <v>21943.2533</v>
      </c>
      <c r="N132" s="272">
        <v>20710.258000000002</v>
      </c>
      <c r="O132" s="272">
        <v>16.544709999999998</v>
      </c>
      <c r="P132" s="272">
        <v>657.18092000000001</v>
      </c>
      <c r="Q132" s="272">
        <v>50.776410000000006</v>
      </c>
      <c r="R132" s="272">
        <v>6.4128699999999998</v>
      </c>
      <c r="S132" s="272">
        <v>3290.1989900000003</v>
      </c>
      <c r="U132" s="272">
        <v>4165.4478900000004</v>
      </c>
      <c r="V132" s="272">
        <v>0</v>
      </c>
      <c r="W132" s="272">
        <v>0</v>
      </c>
      <c r="X132" s="272">
        <v>-875.24890000000005</v>
      </c>
      <c r="Y132" s="272">
        <v>-983.73612000000003</v>
      </c>
      <c r="Z132" s="272">
        <v>-1600</v>
      </c>
      <c r="AA132" s="272">
        <v>0</v>
      </c>
      <c r="AB132" s="272">
        <v>1708.48722</v>
      </c>
      <c r="AD132" s="272">
        <v>12012.251629999999</v>
      </c>
      <c r="AE132" s="157">
        <v>3139.81259</v>
      </c>
      <c r="AF132" s="184">
        <v>-150.38639999999998</v>
      </c>
      <c r="AG132" s="272">
        <v>-4990.1194599999999</v>
      </c>
      <c r="AH132" s="272">
        <v>496.35</v>
      </c>
      <c r="AI132" s="184">
        <v>199.74089999999998</v>
      </c>
      <c r="AJ132" s="272">
        <v>2105.9927400000001</v>
      </c>
      <c r="AL132" s="272">
        <v>30050</v>
      </c>
      <c r="AM132" s="184">
        <v>177.93436</v>
      </c>
      <c r="AN132" s="272">
        <v>1700</v>
      </c>
      <c r="AO132" s="343">
        <v>10190</v>
      </c>
      <c r="AP132" s="332">
        <v>8.9</v>
      </c>
      <c r="AQ132" s="448"/>
      <c r="AS132" s="455">
        <v>5175.1209600000002</v>
      </c>
      <c r="AT132" s="272">
        <v>44034.880349999999</v>
      </c>
      <c r="AU132" s="450"/>
      <c r="AV132" s="334">
        <v>18099.861789999999</v>
      </c>
      <c r="AW132" s="334">
        <v>906.58633999999995</v>
      </c>
      <c r="AX132" s="334">
        <v>2107.2649900000001</v>
      </c>
      <c r="AY132" s="334">
        <v>21113.71312</v>
      </c>
      <c r="AZ132" s="334">
        <v>21118.977999999999</v>
      </c>
      <c r="BA132" s="272">
        <v>23.812049999999999</v>
      </c>
      <c r="BB132" s="333">
        <v>925.49659999999994</v>
      </c>
      <c r="BC132" s="272">
        <v>45.51925</v>
      </c>
      <c r="BD132" s="272">
        <v>3.1850100000000001</v>
      </c>
      <c r="BE132" s="334">
        <v>2561.5083100000002</v>
      </c>
      <c r="BG132" s="331">
        <v>4128.87291</v>
      </c>
      <c r="BH132" s="331">
        <v>0</v>
      </c>
      <c r="BI132" s="331">
        <v>0</v>
      </c>
      <c r="BJ132" s="334">
        <v>-1567.3646000000001</v>
      </c>
      <c r="BK132" s="331">
        <v>-983.73612000000003</v>
      </c>
      <c r="BL132" s="331">
        <v>0</v>
      </c>
      <c r="BM132" s="331">
        <v>0</v>
      </c>
      <c r="BN132" s="334">
        <v>-583.62847999999997</v>
      </c>
      <c r="BP132" s="334">
        <v>11428.623150000001</v>
      </c>
      <c r="BQ132" s="311">
        <v>2453.8887999999997</v>
      </c>
      <c r="BR132" s="272">
        <v>-107.61950999999999</v>
      </c>
      <c r="BS132" s="461">
        <v>-4003.2912099999999</v>
      </c>
      <c r="BT132" s="272">
        <v>427.1463</v>
      </c>
      <c r="BU132" s="272">
        <v>161.09701000000001</v>
      </c>
      <c r="BV132" s="333">
        <v>2755.9888999999998</v>
      </c>
      <c r="BX132" s="272">
        <v>33900</v>
      </c>
      <c r="BY132" s="469">
        <v>-1496.5392300000001</v>
      </c>
      <c r="BZ132" s="469">
        <v>3850</v>
      </c>
      <c r="CA132" s="552"/>
      <c r="CB132" s="335">
        <v>9.4</v>
      </c>
      <c r="CC132" s="471">
        <f t="shared" ref="CC132:CC195" si="2">CB132</f>
        <v>9.4</v>
      </c>
      <c r="CD132" s="558"/>
      <c r="CE132" s="272"/>
      <c r="CF132" s="262"/>
      <c r="CI132" s="158">
        <v>0</v>
      </c>
      <c r="CJ132" s="331">
        <v>22158.73057427019</v>
      </c>
      <c r="CK132" s="331">
        <v>22512.137357304433</v>
      </c>
      <c r="CL132" s="331">
        <v>22477.899632170931</v>
      </c>
      <c r="CM132" s="472">
        <v>23297.748680135366</v>
      </c>
      <c r="CN132" s="472">
        <v>23526.56279483945</v>
      </c>
      <c r="CO132" s="480">
        <v>1547.5039999999999</v>
      </c>
      <c r="CP132" s="557"/>
      <c r="CQ132" s="474">
        <v>93.087990000000005</v>
      </c>
      <c r="CR132" s="474">
        <v>47.92689</v>
      </c>
    </row>
    <row r="133" spans="1:96" x14ac:dyDescent="0.2">
      <c r="A133" s="154">
        <v>426</v>
      </c>
      <c r="B133" s="156" t="s">
        <v>163</v>
      </c>
      <c r="C133" s="325">
        <v>11969</v>
      </c>
      <c r="D133" s="270">
        <v>8.86</v>
      </c>
      <c r="E133" s="185"/>
      <c r="G133" s="272">
        <v>10044.00108</v>
      </c>
      <c r="H133" s="272">
        <v>40026.025030000004</v>
      </c>
      <c r="I133" s="272"/>
      <c r="J133" s="272">
        <v>20562.269620000003</v>
      </c>
      <c r="K133" s="272">
        <v>1680.2698700000001</v>
      </c>
      <c r="L133" s="272">
        <v>3071.5837200000001</v>
      </c>
      <c r="M133" s="272">
        <v>25314.123210000002</v>
      </c>
      <c r="N133" s="272">
        <v>10997.307000000001</v>
      </c>
      <c r="O133" s="272">
        <v>7.7849300000000001</v>
      </c>
      <c r="P133" s="272">
        <v>636.58796999999993</v>
      </c>
      <c r="Q133" s="272">
        <v>366.08782000000002</v>
      </c>
      <c r="R133" s="272">
        <v>1.0846800000000001</v>
      </c>
      <c r="S133" s="272">
        <v>6065.6063600000007</v>
      </c>
      <c r="U133" s="272">
        <v>4074.9191000000001</v>
      </c>
      <c r="V133" s="272">
        <v>0</v>
      </c>
      <c r="W133" s="272">
        <v>0</v>
      </c>
      <c r="X133" s="272">
        <v>1990.6872599999999</v>
      </c>
      <c r="Y133" s="272">
        <v>-119.18355</v>
      </c>
      <c r="Z133" s="272">
        <v>0</v>
      </c>
      <c r="AA133" s="272">
        <v>0</v>
      </c>
      <c r="AB133" s="272">
        <v>2109.8708099999999</v>
      </c>
      <c r="AD133" s="272">
        <v>2340.2922399999998</v>
      </c>
      <c r="AE133" s="157">
        <v>4384.3215099999998</v>
      </c>
      <c r="AF133" s="184">
        <v>-1681.28485</v>
      </c>
      <c r="AG133" s="272">
        <v>-3401.9051300000001</v>
      </c>
      <c r="AH133" s="272">
        <v>527.14106000000004</v>
      </c>
      <c r="AI133" s="184">
        <v>214.05500000000001</v>
      </c>
      <c r="AJ133" s="272">
        <v>741.92399999999998</v>
      </c>
      <c r="AL133" s="272">
        <v>49931.236529999995</v>
      </c>
      <c r="AM133" s="184">
        <v>-10.395</v>
      </c>
      <c r="AN133" s="272">
        <v>-1346.6587</v>
      </c>
      <c r="AO133" s="343">
        <v>11913</v>
      </c>
      <c r="AP133" s="332">
        <v>8.9</v>
      </c>
      <c r="AQ133" s="448"/>
      <c r="AS133" s="455">
        <v>10045.951060000001</v>
      </c>
      <c r="AT133" s="272">
        <v>39574.303780000002</v>
      </c>
      <c r="AU133" s="450"/>
      <c r="AV133" s="334">
        <v>21246.943489999998</v>
      </c>
      <c r="AW133" s="334">
        <v>1358.94821</v>
      </c>
      <c r="AX133" s="334">
        <v>3207.9465</v>
      </c>
      <c r="AY133" s="334">
        <v>25813.838199999998</v>
      </c>
      <c r="AZ133" s="334">
        <v>7911.79</v>
      </c>
      <c r="BA133" s="272">
        <v>18.875419999999998</v>
      </c>
      <c r="BB133" s="333">
        <v>1092.95162</v>
      </c>
      <c r="BC133" s="272">
        <v>371.98505</v>
      </c>
      <c r="BD133" s="272">
        <v>1.5387200000000001</v>
      </c>
      <c r="BE133" s="334">
        <v>3493.64561</v>
      </c>
      <c r="BG133" s="331">
        <v>4569.3505800000003</v>
      </c>
      <c r="BH133" s="331">
        <v>0</v>
      </c>
      <c r="BI133" s="331">
        <v>0</v>
      </c>
      <c r="BJ133" s="334">
        <v>-1075.70497</v>
      </c>
      <c r="BK133" s="331">
        <v>-234.62991</v>
      </c>
      <c r="BL133" s="331">
        <v>0</v>
      </c>
      <c r="BM133" s="331">
        <v>0</v>
      </c>
      <c r="BN133" s="334">
        <v>-841.07506000000001</v>
      </c>
      <c r="BP133" s="334">
        <v>1499.2171800000001</v>
      </c>
      <c r="BQ133" s="311">
        <v>3224.3590600000002</v>
      </c>
      <c r="BR133" s="272">
        <v>-269.28654999999998</v>
      </c>
      <c r="BS133" s="461">
        <v>-3906.3508400000001</v>
      </c>
      <c r="BT133" s="272">
        <v>712.00800000000004</v>
      </c>
      <c r="BU133" s="272">
        <v>60.095500000000001</v>
      </c>
      <c r="BV133" s="333">
        <v>2269.9667899999999</v>
      </c>
      <c r="BX133" s="272">
        <v>54294.965560000004</v>
      </c>
      <c r="BY133" s="469">
        <v>-15.866820000000001</v>
      </c>
      <c r="BZ133" s="469">
        <v>4363.7290300000004</v>
      </c>
      <c r="CA133" s="552"/>
      <c r="CB133" s="335">
        <v>9.5</v>
      </c>
      <c r="CC133" s="471">
        <f t="shared" si="2"/>
        <v>9.5</v>
      </c>
      <c r="CD133" s="558"/>
      <c r="CE133" s="272"/>
      <c r="CF133" s="262"/>
      <c r="CI133" s="158">
        <v>0</v>
      </c>
      <c r="CJ133" s="331">
        <v>9075.8660163295026</v>
      </c>
      <c r="CK133" s="331">
        <v>9060.3665377389825</v>
      </c>
      <c r="CL133" s="331">
        <v>8383.7730866412985</v>
      </c>
      <c r="CM133" s="472">
        <v>8981.0621295519086</v>
      </c>
      <c r="CN133" s="472">
        <v>8927.9843436956035</v>
      </c>
      <c r="CO133" s="480">
        <v>-1919.0350000000001</v>
      </c>
      <c r="CP133" s="557"/>
      <c r="CQ133" s="474">
        <v>0</v>
      </c>
      <c r="CR133" s="474">
        <v>0</v>
      </c>
    </row>
    <row r="134" spans="1:96" x14ac:dyDescent="0.2">
      <c r="A134" s="154">
        <v>444</v>
      </c>
      <c r="B134" s="156" t="s">
        <v>164</v>
      </c>
      <c r="C134" s="325">
        <v>45645</v>
      </c>
      <c r="D134" s="270">
        <v>7.8600000000000021</v>
      </c>
      <c r="E134" s="185"/>
      <c r="G134" s="272">
        <v>39660.506710000001</v>
      </c>
      <c r="H134" s="272">
        <v>153366.69365</v>
      </c>
      <c r="I134" s="272"/>
      <c r="J134" s="272">
        <v>90052.247659999994</v>
      </c>
      <c r="K134" s="272">
        <v>9866.3743100000011</v>
      </c>
      <c r="L134" s="272">
        <v>14884.73198</v>
      </c>
      <c r="M134" s="272">
        <v>114803.35395</v>
      </c>
      <c r="N134" s="272">
        <v>32760.131879999997</v>
      </c>
      <c r="O134" s="272">
        <v>857.96393</v>
      </c>
      <c r="P134" s="272">
        <v>3141.5563299999999</v>
      </c>
      <c r="Q134" s="272">
        <v>439.33566999999999</v>
      </c>
      <c r="R134" s="272">
        <v>128.82628</v>
      </c>
      <c r="S134" s="272">
        <v>32122.246329999998</v>
      </c>
      <c r="U134" s="272">
        <v>17688.733130000001</v>
      </c>
      <c r="V134" s="272">
        <v>0</v>
      </c>
      <c r="W134" s="272">
        <v>0</v>
      </c>
      <c r="X134" s="272">
        <v>14433.513199999999</v>
      </c>
      <c r="Y134" s="272">
        <v>-67.158389999999997</v>
      </c>
      <c r="Z134" s="272">
        <v>0</v>
      </c>
      <c r="AA134" s="272">
        <v>0</v>
      </c>
      <c r="AB134" s="272">
        <v>14500.67159</v>
      </c>
      <c r="AD134" s="272">
        <v>48722.096529999995</v>
      </c>
      <c r="AE134" s="157">
        <v>33357.955110000003</v>
      </c>
      <c r="AF134" s="184">
        <v>1235.7087799999999</v>
      </c>
      <c r="AG134" s="272">
        <v>-36814.609600000003</v>
      </c>
      <c r="AH134" s="272">
        <v>638.9</v>
      </c>
      <c r="AI134" s="184">
        <v>596.3777</v>
      </c>
      <c r="AJ134" s="272">
        <v>12835.099330000001</v>
      </c>
      <c r="AL134" s="272">
        <v>184014.99906000003</v>
      </c>
      <c r="AM134" s="184">
        <v>175.24458999999999</v>
      </c>
      <c r="AN134" s="272">
        <v>4329.2976900000003</v>
      </c>
      <c r="AO134" s="343">
        <v>45687</v>
      </c>
      <c r="AP134" s="332">
        <v>7.9</v>
      </c>
      <c r="AQ134" s="448"/>
      <c r="AS134" s="455">
        <v>40584.855680000001</v>
      </c>
      <c r="AT134" s="272">
        <v>155733.25503</v>
      </c>
      <c r="AU134" s="450"/>
      <c r="AV134" s="334">
        <v>85625.965389999998</v>
      </c>
      <c r="AW134" s="334">
        <v>8530.0619100000004</v>
      </c>
      <c r="AX134" s="334">
        <v>15815.70988</v>
      </c>
      <c r="AY134" s="334">
        <v>109971.73718000001</v>
      </c>
      <c r="AZ134" s="334">
        <v>28544.392749999999</v>
      </c>
      <c r="BA134" s="272">
        <v>705.97348</v>
      </c>
      <c r="BB134" s="333">
        <v>3185.7197299999998</v>
      </c>
      <c r="BC134" s="272">
        <v>1317.60049</v>
      </c>
      <c r="BD134" s="272">
        <v>463.25875000000002</v>
      </c>
      <c r="BE134" s="334">
        <v>21919.91675</v>
      </c>
      <c r="BG134" s="331">
        <v>19324.96629</v>
      </c>
      <c r="BH134" s="331">
        <v>0</v>
      </c>
      <c r="BI134" s="331">
        <v>0</v>
      </c>
      <c r="BJ134" s="334">
        <v>2594.95046</v>
      </c>
      <c r="BK134" s="334">
        <v>-67.158339999999995</v>
      </c>
      <c r="BL134" s="334">
        <v>0</v>
      </c>
      <c r="BM134" s="331">
        <v>0</v>
      </c>
      <c r="BN134" s="334">
        <v>2662.1088</v>
      </c>
      <c r="BP134" s="334">
        <v>51160.534249999997</v>
      </c>
      <c r="BQ134" s="311">
        <v>22589.500010000003</v>
      </c>
      <c r="BR134" s="272">
        <v>669.58326</v>
      </c>
      <c r="BS134" s="461">
        <v>-30529.385710000002</v>
      </c>
      <c r="BT134" s="272">
        <v>1107</v>
      </c>
      <c r="BU134" s="272">
        <v>1233.60049</v>
      </c>
      <c r="BV134" s="333">
        <v>8411.4771299999993</v>
      </c>
      <c r="BX134" s="272">
        <v>183615.21794</v>
      </c>
      <c r="BY134" s="469">
        <v>56.92953</v>
      </c>
      <c r="BZ134" s="469">
        <v>-399.78111999999999</v>
      </c>
      <c r="CA134" s="552"/>
      <c r="CB134" s="335">
        <v>7.9</v>
      </c>
      <c r="CC134" s="471">
        <f t="shared" si="2"/>
        <v>7.9</v>
      </c>
      <c r="CD134" s="558"/>
      <c r="CE134" s="272"/>
      <c r="CF134" s="262"/>
      <c r="CI134" s="158">
        <v>0</v>
      </c>
      <c r="CJ134" s="331">
        <v>31317.155727695434</v>
      </c>
      <c r="CK134" s="331">
        <v>29940.085881653635</v>
      </c>
      <c r="CL134" s="331">
        <v>32149.465607789964</v>
      </c>
      <c r="CM134" s="472">
        <v>33574.548581838535</v>
      </c>
      <c r="CN134" s="472">
        <v>32935.999710643431</v>
      </c>
      <c r="CO134" s="480">
        <v>409.45100000000002</v>
      </c>
      <c r="CP134" s="557"/>
      <c r="CQ134" s="474">
        <v>238.03045</v>
      </c>
      <c r="CR134" s="474">
        <v>177.59067999999999</v>
      </c>
    </row>
    <row r="135" spans="1:96" x14ac:dyDescent="0.2">
      <c r="A135" s="154">
        <v>430</v>
      </c>
      <c r="B135" s="156" t="s">
        <v>165</v>
      </c>
      <c r="C135" s="325">
        <v>15420</v>
      </c>
      <c r="D135" s="270">
        <v>8.36</v>
      </c>
      <c r="E135" s="185"/>
      <c r="G135" s="272">
        <v>11393.640210000001</v>
      </c>
      <c r="H135" s="272">
        <v>46988.72378</v>
      </c>
      <c r="I135" s="272"/>
      <c r="J135" s="272">
        <v>25117.435579999998</v>
      </c>
      <c r="K135" s="272">
        <v>4047.0203799999999</v>
      </c>
      <c r="L135" s="272">
        <v>4433.9295599999996</v>
      </c>
      <c r="M135" s="272">
        <v>33598.385520000003</v>
      </c>
      <c r="N135" s="272">
        <v>10288.226000000001</v>
      </c>
      <c r="O135" s="272">
        <v>12.173020000000001</v>
      </c>
      <c r="P135" s="272">
        <v>622.79474000000005</v>
      </c>
      <c r="Q135" s="272">
        <v>253.38300000000001</v>
      </c>
      <c r="R135" s="272">
        <v>10.683860000000001</v>
      </c>
      <c r="S135" s="272">
        <v>7923.6053700000002</v>
      </c>
      <c r="U135" s="272">
        <v>4428.1622300000008</v>
      </c>
      <c r="V135" s="272">
        <v>0</v>
      </c>
      <c r="W135" s="272">
        <v>0</v>
      </c>
      <c r="X135" s="272">
        <v>3495.4431400000003</v>
      </c>
      <c r="Y135" s="272">
        <v>-51.749019999999994</v>
      </c>
      <c r="Z135" s="272">
        <v>0</v>
      </c>
      <c r="AA135" s="272">
        <v>0</v>
      </c>
      <c r="AB135" s="272">
        <v>3547.1921600000001</v>
      </c>
      <c r="AD135" s="272">
        <v>7834.0090500000006</v>
      </c>
      <c r="AE135" s="157">
        <v>7862.8803099999996</v>
      </c>
      <c r="AF135" s="184">
        <v>-60.725059999999999</v>
      </c>
      <c r="AG135" s="272">
        <v>-5210.12637</v>
      </c>
      <c r="AH135" s="272">
        <v>0</v>
      </c>
      <c r="AI135" s="184">
        <v>94.978070000000002</v>
      </c>
      <c r="AJ135" s="272">
        <v>3095.6185299999997</v>
      </c>
      <c r="AL135" s="272">
        <v>24575.008000000002</v>
      </c>
      <c r="AM135" s="184">
        <v>-45.49485</v>
      </c>
      <c r="AN135" s="272">
        <v>-6871.1779999999999</v>
      </c>
      <c r="AO135" s="343">
        <v>15295</v>
      </c>
      <c r="AP135" s="332">
        <v>8.4</v>
      </c>
      <c r="AQ135" s="448"/>
      <c r="AS135" s="455">
        <v>12544.7755</v>
      </c>
      <c r="AT135" s="272">
        <v>47727.569969999997</v>
      </c>
      <c r="AU135" s="450"/>
      <c r="AV135" s="334">
        <v>25406.382550000002</v>
      </c>
      <c r="AW135" s="334">
        <v>3236.5172000000002</v>
      </c>
      <c r="AX135" s="334">
        <v>4943.4996600000004</v>
      </c>
      <c r="AY135" s="334">
        <v>33586.399409999998</v>
      </c>
      <c r="AZ135" s="334">
        <v>9695.9030000000002</v>
      </c>
      <c r="BA135" s="272">
        <v>58.473999999999997</v>
      </c>
      <c r="BB135" s="333">
        <v>705.89793999999995</v>
      </c>
      <c r="BC135" s="272">
        <v>343.66465000000005</v>
      </c>
      <c r="BD135" s="272">
        <v>5.8988000000000005</v>
      </c>
      <c r="BE135" s="334">
        <v>7789.8498499999996</v>
      </c>
      <c r="BG135" s="331">
        <v>5021.5511200000001</v>
      </c>
      <c r="BH135" s="331">
        <v>0</v>
      </c>
      <c r="BI135" s="331">
        <v>0</v>
      </c>
      <c r="BJ135" s="334">
        <v>2768.29873</v>
      </c>
      <c r="BK135" s="334">
        <v>-49.976900000000001</v>
      </c>
      <c r="BL135" s="331">
        <v>0</v>
      </c>
      <c r="BM135" s="331">
        <v>0</v>
      </c>
      <c r="BN135" s="334">
        <v>2818.2756300000001</v>
      </c>
      <c r="BP135" s="334">
        <v>10652.284679999999</v>
      </c>
      <c r="BQ135" s="311">
        <v>7672.98164</v>
      </c>
      <c r="BR135" s="272">
        <v>-116.86821</v>
      </c>
      <c r="BS135" s="461">
        <v>-4190.9377299999996</v>
      </c>
      <c r="BT135" s="272">
        <v>0</v>
      </c>
      <c r="BU135" s="272">
        <v>469.44850000000002</v>
      </c>
      <c r="BV135" s="333">
        <v>4828.4338900000002</v>
      </c>
      <c r="BX135" s="272">
        <v>22407.153999999999</v>
      </c>
      <c r="BY135" s="469">
        <v>42.163800000000002</v>
      </c>
      <c r="BZ135" s="469">
        <v>-2167.8539999999998</v>
      </c>
      <c r="CA135" s="552"/>
      <c r="CB135" s="335">
        <v>8.4</v>
      </c>
      <c r="CC135" s="471">
        <f t="shared" si="2"/>
        <v>8.4</v>
      </c>
      <c r="CD135" s="558"/>
      <c r="CE135" s="272"/>
      <c r="CF135" s="262"/>
      <c r="CI135" s="158">
        <v>0</v>
      </c>
      <c r="CJ135" s="331">
        <v>10970.69916643356</v>
      </c>
      <c r="CK135" s="331">
        <v>11424.807681011502</v>
      </c>
      <c r="CL135" s="331">
        <v>12235.762968482348</v>
      </c>
      <c r="CM135" s="472">
        <v>13354.350706007432</v>
      </c>
      <c r="CN135" s="472">
        <v>13502.109366760984</v>
      </c>
      <c r="CO135" s="480">
        <v>-1759.653</v>
      </c>
      <c r="CP135" s="557"/>
      <c r="CQ135" s="474">
        <v>0</v>
      </c>
      <c r="CR135" s="474">
        <v>0</v>
      </c>
    </row>
    <row r="136" spans="1:96" x14ac:dyDescent="0.2">
      <c r="A136" s="154">
        <v>433</v>
      </c>
      <c r="B136" s="156" t="s">
        <v>166</v>
      </c>
      <c r="C136" s="325">
        <v>7692</v>
      </c>
      <c r="D136" s="270">
        <v>8.86</v>
      </c>
      <c r="E136" s="185"/>
      <c r="G136" s="272">
        <v>5078.1170599999996</v>
      </c>
      <c r="H136" s="272">
        <v>26284.063460000001</v>
      </c>
      <c r="I136" s="272"/>
      <c r="J136" s="272">
        <v>14529.67578</v>
      </c>
      <c r="K136" s="272">
        <v>1830.3399099999999</v>
      </c>
      <c r="L136" s="272">
        <v>2203.1846499999997</v>
      </c>
      <c r="M136" s="272">
        <v>18563.200339999999</v>
      </c>
      <c r="N136" s="272">
        <v>6308.5709999999999</v>
      </c>
      <c r="O136" s="272">
        <v>104.69689</v>
      </c>
      <c r="P136" s="272">
        <v>516.01237000000003</v>
      </c>
      <c r="Q136" s="272">
        <v>28.88653</v>
      </c>
      <c r="R136" s="272">
        <v>1.9335100000000001</v>
      </c>
      <c r="S136" s="272">
        <v>3317.8369199999997</v>
      </c>
      <c r="U136" s="272">
        <v>2317.1611800000001</v>
      </c>
      <c r="V136" s="272">
        <v>0</v>
      </c>
      <c r="W136" s="272">
        <v>536.92856000000006</v>
      </c>
      <c r="X136" s="272">
        <v>463.74718000000001</v>
      </c>
      <c r="Y136" s="272">
        <v>0</v>
      </c>
      <c r="Z136" s="272">
        <v>0</v>
      </c>
      <c r="AA136" s="272">
        <v>0</v>
      </c>
      <c r="AB136" s="272">
        <v>463.74718000000001</v>
      </c>
      <c r="AD136" s="272">
        <v>17194.623319999999</v>
      </c>
      <c r="AE136" s="157">
        <v>2506.0478199999998</v>
      </c>
      <c r="AF136" s="184">
        <v>-274.86053999999996</v>
      </c>
      <c r="AG136" s="272">
        <v>-6285.02945</v>
      </c>
      <c r="AH136" s="272">
        <v>437.83550000000002</v>
      </c>
      <c r="AI136" s="184">
        <v>2086.0505699999999</v>
      </c>
      <c r="AJ136" s="272">
        <v>2355.6849900000002</v>
      </c>
      <c r="AL136" s="272">
        <v>17050</v>
      </c>
      <c r="AM136" s="184">
        <v>0</v>
      </c>
      <c r="AN136" s="272">
        <v>1153.125</v>
      </c>
      <c r="AO136" s="343">
        <v>7657</v>
      </c>
      <c r="AP136" s="332">
        <v>8.9</v>
      </c>
      <c r="AQ136" s="448"/>
      <c r="AS136" s="455">
        <v>4604.3984099999998</v>
      </c>
      <c r="AT136" s="272">
        <v>24631.80053</v>
      </c>
      <c r="AU136" s="450"/>
      <c r="AV136" s="334">
        <v>14349.593000000001</v>
      </c>
      <c r="AW136" s="334">
        <v>1419.2654600000001</v>
      </c>
      <c r="AX136" s="334">
        <v>2394.2308900000003</v>
      </c>
      <c r="AY136" s="334">
        <v>18163.089350000002</v>
      </c>
      <c r="AZ136" s="334">
        <v>4816.24</v>
      </c>
      <c r="BA136" s="272">
        <v>40.857289999999999</v>
      </c>
      <c r="BB136" s="333">
        <v>630.21203000000003</v>
      </c>
      <c r="BC136" s="272">
        <v>36.444760000000002</v>
      </c>
      <c r="BD136" s="272">
        <v>1.2925799999999998</v>
      </c>
      <c r="BE136" s="334">
        <v>2442.0733599999999</v>
      </c>
      <c r="BG136" s="331">
        <v>2598.4662799999996</v>
      </c>
      <c r="BH136" s="331">
        <v>290.68993</v>
      </c>
      <c r="BI136" s="331">
        <v>22.216740000000001</v>
      </c>
      <c r="BJ136" s="334">
        <v>112.08027</v>
      </c>
      <c r="BK136" s="331">
        <v>0</v>
      </c>
      <c r="BL136" s="331">
        <v>0</v>
      </c>
      <c r="BM136" s="331">
        <v>0</v>
      </c>
      <c r="BN136" s="334">
        <v>112.08027</v>
      </c>
      <c r="BP136" s="334">
        <v>17306.703590000001</v>
      </c>
      <c r="BQ136" s="311">
        <v>2706.8200099999999</v>
      </c>
      <c r="BR136" s="272">
        <v>-3.72654</v>
      </c>
      <c r="BS136" s="461">
        <v>-1198.13715</v>
      </c>
      <c r="BT136" s="272">
        <v>43.964500000000001</v>
      </c>
      <c r="BU136" s="272">
        <v>55.308</v>
      </c>
      <c r="BV136" s="333">
        <v>1951.09222</v>
      </c>
      <c r="BX136" s="272">
        <v>15962.5</v>
      </c>
      <c r="BY136" s="469">
        <v>0</v>
      </c>
      <c r="BZ136" s="469">
        <v>-1087.5</v>
      </c>
      <c r="CA136" s="552"/>
      <c r="CB136" s="335">
        <v>8.9</v>
      </c>
      <c r="CC136" s="471">
        <f t="shared" si="2"/>
        <v>8.9</v>
      </c>
      <c r="CD136" s="558"/>
      <c r="CE136" s="272"/>
      <c r="CF136" s="262"/>
      <c r="CI136" s="158">
        <v>0</v>
      </c>
      <c r="CJ136" s="331">
        <v>4751.6345736090698</v>
      </c>
      <c r="CK136" s="331">
        <v>4876.6978094428905</v>
      </c>
      <c r="CL136" s="331">
        <v>4732.6324121407097</v>
      </c>
      <c r="CM136" s="472">
        <v>5225.9664056284073</v>
      </c>
      <c r="CN136" s="472">
        <v>5302.3445061489838</v>
      </c>
      <c r="CO136" s="480">
        <v>-856.02599999999995</v>
      </c>
      <c r="CP136" s="557"/>
      <c r="CQ136" s="474">
        <v>36.37444</v>
      </c>
      <c r="CR136" s="474">
        <v>44.348690000000005</v>
      </c>
    </row>
    <row r="137" spans="1:96" x14ac:dyDescent="0.2">
      <c r="A137" s="265">
        <v>434</v>
      </c>
      <c r="B137" s="262" t="s">
        <v>167</v>
      </c>
      <c r="C137" s="325">
        <v>14458</v>
      </c>
      <c r="D137" s="270">
        <v>7.61</v>
      </c>
      <c r="E137" s="311"/>
      <c r="F137" s="262"/>
      <c r="G137" s="272">
        <v>18117.344079999999</v>
      </c>
      <c r="H137" s="272">
        <v>61056.11363</v>
      </c>
      <c r="I137" s="272"/>
      <c r="J137" s="272">
        <v>25567.332280000002</v>
      </c>
      <c r="K137" s="272">
        <v>6944.3939700000001</v>
      </c>
      <c r="L137" s="272">
        <v>9100.3530900000005</v>
      </c>
      <c r="M137" s="272">
        <v>41612.079340000004</v>
      </c>
      <c r="N137" s="272">
        <v>11119.394</v>
      </c>
      <c r="O137" s="272">
        <v>78.492679999999993</v>
      </c>
      <c r="P137" s="272">
        <v>1195.8896399999999</v>
      </c>
      <c r="Q137" s="272">
        <v>883.53291999999999</v>
      </c>
      <c r="R137" s="272">
        <v>24.108640000000001</v>
      </c>
      <c r="S137" s="272">
        <v>9534.7311099999988</v>
      </c>
      <c r="T137" s="262"/>
      <c r="U137" s="272">
        <v>7227.1991399999997</v>
      </c>
      <c r="V137" s="272">
        <v>0</v>
      </c>
      <c r="W137" s="272">
        <v>111.40949999999999</v>
      </c>
      <c r="X137" s="272">
        <v>2196.1224700000002</v>
      </c>
      <c r="Y137" s="272">
        <v>-228.65700000000001</v>
      </c>
      <c r="Z137" s="272">
        <v>0</v>
      </c>
      <c r="AA137" s="272">
        <v>0</v>
      </c>
      <c r="AB137" s="272">
        <v>2424.7794700000004</v>
      </c>
      <c r="AC137" s="262"/>
      <c r="AD137" s="272">
        <v>16675.398880000001</v>
      </c>
      <c r="AE137" s="311">
        <v>10045.594070000001</v>
      </c>
      <c r="AF137" s="272">
        <v>622.27245999999991</v>
      </c>
      <c r="AG137" s="272">
        <v>-6065.5714200000002</v>
      </c>
      <c r="AH137" s="272">
        <v>0</v>
      </c>
      <c r="AI137" s="272">
        <v>2223.9665800000002</v>
      </c>
      <c r="AJ137" s="272">
        <v>8770.009970000001</v>
      </c>
      <c r="AK137" s="262"/>
      <c r="AL137" s="272">
        <v>64226.688799999989</v>
      </c>
      <c r="AM137" s="272">
        <v>-5.4</v>
      </c>
      <c r="AN137" s="272">
        <v>-2368.2617599999999</v>
      </c>
      <c r="AO137" s="325">
        <v>14352</v>
      </c>
      <c r="AP137" s="332">
        <v>7.6</v>
      </c>
      <c r="AQ137" s="446"/>
      <c r="AS137" s="455">
        <v>15975.492289999998</v>
      </c>
      <c r="AT137" s="272">
        <v>58267.51498</v>
      </c>
      <c r="AU137" s="447"/>
      <c r="AV137" s="272">
        <v>24172.403859999999</v>
      </c>
      <c r="AW137" s="272">
        <v>9329.0260999999991</v>
      </c>
      <c r="AX137" s="272">
        <v>9540.0036700000001</v>
      </c>
      <c r="AY137" s="272">
        <v>43041.43363</v>
      </c>
      <c r="AZ137" s="272">
        <v>8795.125</v>
      </c>
      <c r="BA137" s="272">
        <v>84.579770000000011</v>
      </c>
      <c r="BB137" s="272">
        <v>1346.7736599999998</v>
      </c>
      <c r="BC137" s="272">
        <v>2411.5740799999999</v>
      </c>
      <c r="BD137" s="272">
        <v>27.33456</v>
      </c>
      <c r="BE137" s="272">
        <v>10666.58157</v>
      </c>
      <c r="BG137" s="272">
        <v>7867.2996199999998</v>
      </c>
      <c r="BH137" s="272">
        <v>0</v>
      </c>
      <c r="BI137" s="272">
        <v>36.548000000000002</v>
      </c>
      <c r="BJ137" s="272">
        <v>2762.7339500000003</v>
      </c>
      <c r="BK137" s="272">
        <v>-228.65698</v>
      </c>
      <c r="BL137" s="272">
        <v>0</v>
      </c>
      <c r="BM137" s="272">
        <v>0</v>
      </c>
      <c r="BN137" s="272">
        <v>2991.39093</v>
      </c>
      <c r="BP137" s="272">
        <v>19666.789810000002</v>
      </c>
      <c r="BQ137" s="311">
        <v>9905.86456</v>
      </c>
      <c r="BR137" s="272">
        <v>-724.16900999999996</v>
      </c>
      <c r="BS137" s="272">
        <v>-7974.9154800000006</v>
      </c>
      <c r="BT137" s="272">
        <v>13.59769</v>
      </c>
      <c r="BU137" s="272">
        <v>213.48076999999998</v>
      </c>
      <c r="BV137" s="272">
        <v>17836.81466</v>
      </c>
      <c r="BX137" s="272">
        <v>68508.427039999995</v>
      </c>
      <c r="BY137" s="469">
        <v>-14.4</v>
      </c>
      <c r="BZ137" s="469">
        <v>4281.7382400000006</v>
      </c>
      <c r="CB137" s="335">
        <v>7.6</v>
      </c>
      <c r="CC137" s="471">
        <f t="shared" si="2"/>
        <v>7.6</v>
      </c>
      <c r="CD137" s="558"/>
      <c r="CE137" s="272"/>
      <c r="CF137" s="262"/>
      <c r="CG137" s="262"/>
      <c r="CH137" s="262"/>
      <c r="CI137" s="260">
        <v>0</v>
      </c>
      <c r="CJ137" s="331">
        <v>9628.6757099693277</v>
      </c>
      <c r="CK137" s="331">
        <v>9192.1568687930685</v>
      </c>
      <c r="CL137" s="331">
        <v>9431.973204053731</v>
      </c>
      <c r="CM137" s="472">
        <v>10165.959639394183</v>
      </c>
      <c r="CN137" s="472">
        <v>10068.502229448139</v>
      </c>
      <c r="CO137" s="480">
        <v>471.036</v>
      </c>
      <c r="CP137" s="557"/>
      <c r="CQ137" s="474">
        <v>0</v>
      </c>
      <c r="CR137" s="474">
        <v>0</v>
      </c>
    </row>
    <row r="138" spans="1:96" x14ac:dyDescent="0.2">
      <c r="A138" s="154">
        <v>435</v>
      </c>
      <c r="B138" s="156" t="s">
        <v>168</v>
      </c>
      <c r="C138" s="325">
        <v>702</v>
      </c>
      <c r="D138" s="270">
        <v>5.86</v>
      </c>
      <c r="E138" s="185"/>
      <c r="G138" s="272">
        <v>746.57641000000001</v>
      </c>
      <c r="H138" s="272">
        <v>3298.4076800000003</v>
      </c>
      <c r="I138" s="272"/>
      <c r="J138" s="272">
        <v>912.80749000000003</v>
      </c>
      <c r="K138" s="272">
        <v>259.59325000000001</v>
      </c>
      <c r="L138" s="272">
        <v>647.11196999999993</v>
      </c>
      <c r="M138" s="272">
        <v>1819.3385000000001</v>
      </c>
      <c r="N138" s="272">
        <v>677.21799999999996</v>
      </c>
      <c r="O138" s="272">
        <v>0.105</v>
      </c>
      <c r="P138" s="272">
        <v>60.841149999999999</v>
      </c>
      <c r="Q138" s="272">
        <v>30.976009999999999</v>
      </c>
      <c r="R138" s="272">
        <v>1.4352100000000001</v>
      </c>
      <c r="S138" s="272">
        <v>-86.470119999999994</v>
      </c>
      <c r="U138" s="272">
        <v>187.51035999999999</v>
      </c>
      <c r="V138" s="272">
        <v>23.720130000000001</v>
      </c>
      <c r="W138" s="272">
        <v>0</v>
      </c>
      <c r="X138" s="272">
        <v>-250.26035000000002</v>
      </c>
      <c r="Y138" s="272">
        <v>0</v>
      </c>
      <c r="Z138" s="272">
        <v>0</v>
      </c>
      <c r="AA138" s="272">
        <v>0</v>
      </c>
      <c r="AB138" s="272">
        <v>-250.26035000000002</v>
      </c>
      <c r="AD138" s="272">
        <v>2427.7384100000004</v>
      </c>
      <c r="AE138" s="157">
        <v>-79.165350000000004</v>
      </c>
      <c r="AF138" s="184">
        <v>-16.415369999999999</v>
      </c>
      <c r="AG138" s="272">
        <v>-68.251539999999991</v>
      </c>
      <c r="AH138" s="272">
        <v>0</v>
      </c>
      <c r="AI138" s="184">
        <v>38.1</v>
      </c>
      <c r="AJ138" s="272">
        <v>1446.98371</v>
      </c>
      <c r="AL138" s="272">
        <v>2290.9449999999997</v>
      </c>
      <c r="AM138" s="184">
        <v>-1</v>
      </c>
      <c r="AN138" s="272">
        <v>-203.14198999999999</v>
      </c>
      <c r="AO138" s="343">
        <v>711</v>
      </c>
      <c r="AP138" s="332">
        <v>6.4</v>
      </c>
      <c r="AQ138" s="448"/>
      <c r="AS138" s="455">
        <v>880.83377000000007</v>
      </c>
      <c r="AT138" s="272">
        <v>2913.4003399999997</v>
      </c>
      <c r="AU138" s="450"/>
      <c r="AV138" s="334">
        <v>979.82806999999991</v>
      </c>
      <c r="AW138" s="334">
        <v>212.06777</v>
      </c>
      <c r="AX138" s="334">
        <v>671.43080000000009</v>
      </c>
      <c r="AY138" s="334">
        <v>1863.32664</v>
      </c>
      <c r="AZ138" s="334">
        <v>806.72900000000004</v>
      </c>
      <c r="BA138" s="272">
        <v>1.75E-3</v>
      </c>
      <c r="BB138" s="333">
        <v>62.548000000000002</v>
      </c>
      <c r="BC138" s="272">
        <v>35.607239999999997</v>
      </c>
      <c r="BD138" s="272">
        <v>0.95843</v>
      </c>
      <c r="BE138" s="334">
        <v>609.59163000000001</v>
      </c>
      <c r="BG138" s="331">
        <v>461.02686999999997</v>
      </c>
      <c r="BH138" s="334">
        <v>12.1746</v>
      </c>
      <c r="BI138" s="331">
        <v>0</v>
      </c>
      <c r="BJ138" s="334">
        <v>160.73935999999998</v>
      </c>
      <c r="BK138" s="331">
        <v>0</v>
      </c>
      <c r="BL138" s="331">
        <v>0</v>
      </c>
      <c r="BM138" s="331">
        <v>0</v>
      </c>
      <c r="BN138" s="334">
        <v>160.73935999999998</v>
      </c>
      <c r="BP138" s="334">
        <v>2588.47777</v>
      </c>
      <c r="BQ138" s="311">
        <v>621.76622999999995</v>
      </c>
      <c r="BR138" s="272">
        <v>0</v>
      </c>
      <c r="BS138" s="461">
        <v>0</v>
      </c>
      <c r="BT138" s="272">
        <v>0</v>
      </c>
      <c r="BU138" s="272">
        <v>0</v>
      </c>
      <c r="BV138" s="333">
        <v>1715.03765</v>
      </c>
      <c r="BX138" s="272">
        <v>2087.7829999999999</v>
      </c>
      <c r="BY138" s="469">
        <v>-120</v>
      </c>
      <c r="BZ138" s="469">
        <v>-203.16200000000001</v>
      </c>
      <c r="CA138" s="552"/>
      <c r="CB138" s="335">
        <v>6.4</v>
      </c>
      <c r="CC138" s="471">
        <f t="shared" si="2"/>
        <v>6.4</v>
      </c>
      <c r="CD138" s="558"/>
      <c r="CE138" s="272"/>
      <c r="CF138" s="262"/>
      <c r="CI138" s="158">
        <v>0</v>
      </c>
      <c r="CJ138" s="331">
        <v>971.93448503350191</v>
      </c>
      <c r="CK138" s="331">
        <v>1005.4551831765839</v>
      </c>
      <c r="CL138" s="331">
        <v>952.00233190436143</v>
      </c>
      <c r="CM138" s="472">
        <v>984.4179846645427</v>
      </c>
      <c r="CN138" s="472">
        <v>999.18906402958623</v>
      </c>
      <c r="CO138" s="480">
        <v>-196.172</v>
      </c>
      <c r="CP138" s="557"/>
      <c r="CQ138" s="474">
        <v>0</v>
      </c>
      <c r="CR138" s="474">
        <v>0</v>
      </c>
    </row>
    <row r="139" spans="1:96" x14ac:dyDescent="0.2">
      <c r="A139" s="154">
        <v>436</v>
      </c>
      <c r="B139" s="156" t="s">
        <v>169</v>
      </c>
      <c r="C139" s="325">
        <v>2033</v>
      </c>
      <c r="D139" s="270">
        <v>8.36</v>
      </c>
      <c r="E139" s="185"/>
      <c r="G139" s="272">
        <v>1390.3066399999998</v>
      </c>
      <c r="H139" s="272">
        <v>7949.9896600000002</v>
      </c>
      <c r="I139" s="272"/>
      <c r="J139" s="272">
        <v>3045.33628</v>
      </c>
      <c r="K139" s="272">
        <v>194.52495000000002</v>
      </c>
      <c r="L139" s="272">
        <v>322.94299999999998</v>
      </c>
      <c r="M139" s="272">
        <v>3562.8042300000002</v>
      </c>
      <c r="N139" s="272">
        <v>4515.6049999999996</v>
      </c>
      <c r="O139" s="272">
        <v>12.49807</v>
      </c>
      <c r="P139" s="272">
        <v>264.27512000000002</v>
      </c>
      <c r="Q139" s="272">
        <v>3.4209800000000001</v>
      </c>
      <c r="R139" s="272">
        <v>9.1590000000000005E-2</v>
      </c>
      <c r="S139" s="272">
        <v>1270.27855</v>
      </c>
      <c r="U139" s="272">
        <v>727.63860999999997</v>
      </c>
      <c r="V139" s="272">
        <v>0</v>
      </c>
      <c r="W139" s="272">
        <v>0</v>
      </c>
      <c r="X139" s="272">
        <v>542.63993999999991</v>
      </c>
      <c r="Y139" s="272">
        <v>263.87281999999999</v>
      </c>
      <c r="Z139" s="272">
        <v>-300</v>
      </c>
      <c r="AA139" s="272">
        <v>0</v>
      </c>
      <c r="AB139" s="272">
        <v>578.76711999999998</v>
      </c>
      <c r="AD139" s="272">
        <v>623.11709999999994</v>
      </c>
      <c r="AE139" s="157">
        <v>1263.3098400000001</v>
      </c>
      <c r="AF139" s="184">
        <v>-6.9687099999999997</v>
      </c>
      <c r="AG139" s="272">
        <v>-1763.30322</v>
      </c>
      <c r="AH139" s="272">
        <v>0</v>
      </c>
      <c r="AI139" s="184">
        <v>8.52</v>
      </c>
      <c r="AJ139" s="272">
        <v>901.19637</v>
      </c>
      <c r="AL139" s="272">
        <v>8218.3140000000003</v>
      </c>
      <c r="AM139" s="184">
        <v>0</v>
      </c>
      <c r="AN139" s="272">
        <v>1847.2660000000001</v>
      </c>
      <c r="AO139" s="343">
        <v>2008</v>
      </c>
      <c r="AP139" s="332">
        <v>8.9</v>
      </c>
      <c r="AQ139" s="448"/>
      <c r="AS139" s="455">
        <v>1475.7760499999999</v>
      </c>
      <c r="AT139" s="272">
        <v>7296.7682500000001</v>
      </c>
      <c r="AU139" s="450"/>
      <c r="AV139" s="334">
        <v>3307.9646000000002</v>
      </c>
      <c r="AW139" s="334">
        <v>153.83198000000002</v>
      </c>
      <c r="AX139" s="334">
        <v>340.77762000000001</v>
      </c>
      <c r="AY139" s="334">
        <v>3802.5742</v>
      </c>
      <c r="AZ139" s="334">
        <v>3247.4490000000001</v>
      </c>
      <c r="BA139" s="272">
        <v>6.64154</v>
      </c>
      <c r="BB139" s="333">
        <v>242.69504000000001</v>
      </c>
      <c r="BC139" s="272">
        <v>5.9429799999999995</v>
      </c>
      <c r="BD139" s="272">
        <v>1.3810000000000001E-2</v>
      </c>
      <c r="BE139" s="334">
        <v>998.90667000000008</v>
      </c>
      <c r="BG139" s="331">
        <v>714.03195999999991</v>
      </c>
      <c r="BH139" s="331">
        <v>0</v>
      </c>
      <c r="BI139" s="331">
        <v>0</v>
      </c>
      <c r="BJ139" s="334">
        <v>284.87470999999999</v>
      </c>
      <c r="BK139" s="334">
        <v>-39.806640000000002</v>
      </c>
      <c r="BL139" s="331">
        <v>0</v>
      </c>
      <c r="BM139" s="331">
        <v>0</v>
      </c>
      <c r="BN139" s="334">
        <v>324.68134999999995</v>
      </c>
      <c r="BP139" s="334">
        <v>947.79845</v>
      </c>
      <c r="BQ139" s="311">
        <v>939.39567</v>
      </c>
      <c r="BR139" s="272">
        <v>-59.511000000000003</v>
      </c>
      <c r="BS139" s="461">
        <v>-976.34193999999991</v>
      </c>
      <c r="BT139" s="272">
        <v>23.2</v>
      </c>
      <c r="BU139" s="272">
        <v>78.651499999999999</v>
      </c>
      <c r="BV139" s="333">
        <v>643.14492000000007</v>
      </c>
      <c r="BX139" s="272">
        <v>7903.08</v>
      </c>
      <c r="BY139" s="469">
        <v>0</v>
      </c>
      <c r="BZ139" s="469">
        <v>-315.23399999999998</v>
      </c>
      <c r="CA139" s="552"/>
      <c r="CB139" s="335">
        <v>8.9</v>
      </c>
      <c r="CC139" s="471">
        <f t="shared" si="2"/>
        <v>8.9</v>
      </c>
      <c r="CD139" s="558"/>
      <c r="CE139" s="272"/>
      <c r="CF139" s="262"/>
      <c r="CI139" s="158">
        <v>0</v>
      </c>
      <c r="CJ139" s="331">
        <v>3535.2021946211016</v>
      </c>
      <c r="CK139" s="331">
        <v>3890.0400840241382</v>
      </c>
      <c r="CL139" s="331">
        <v>3790.8085915130723</v>
      </c>
      <c r="CM139" s="472">
        <v>3908.6334787538481</v>
      </c>
      <c r="CN139" s="472">
        <v>3867.3595695124532</v>
      </c>
      <c r="CO139" s="480">
        <v>-234.161</v>
      </c>
      <c r="CP139" s="557"/>
      <c r="CQ139" s="474">
        <v>0</v>
      </c>
      <c r="CR139" s="474">
        <v>0</v>
      </c>
    </row>
    <row r="140" spans="1:96" x14ac:dyDescent="0.2">
      <c r="A140" s="154">
        <v>440</v>
      </c>
      <c r="B140" s="156" t="s">
        <v>170</v>
      </c>
      <c r="C140" s="325">
        <v>5843</v>
      </c>
      <c r="D140" s="270">
        <v>7.3599999999999994</v>
      </c>
      <c r="E140" s="185"/>
      <c r="G140" s="272">
        <v>3019.7474200000001</v>
      </c>
      <c r="H140" s="272">
        <v>21248.509239999999</v>
      </c>
      <c r="I140" s="272"/>
      <c r="J140" s="272">
        <v>8251.3615300000001</v>
      </c>
      <c r="K140" s="272">
        <v>483.07544000000001</v>
      </c>
      <c r="L140" s="272">
        <v>1559.13986</v>
      </c>
      <c r="M140" s="272">
        <v>10293.57683</v>
      </c>
      <c r="N140" s="272">
        <v>9918.57</v>
      </c>
      <c r="O140" s="272">
        <v>196.82935999999998</v>
      </c>
      <c r="P140" s="272">
        <v>903.53008</v>
      </c>
      <c r="Q140" s="272">
        <v>494.93077</v>
      </c>
      <c r="R140" s="272">
        <v>327.18644</v>
      </c>
      <c r="S140" s="272">
        <v>1444.4286200000001</v>
      </c>
      <c r="U140" s="272">
        <v>1431.7189699999999</v>
      </c>
      <c r="V140" s="272">
        <v>0</v>
      </c>
      <c r="W140" s="272">
        <v>0</v>
      </c>
      <c r="X140" s="272">
        <v>12.70965</v>
      </c>
      <c r="Y140" s="272">
        <v>0</v>
      </c>
      <c r="Z140" s="272">
        <v>0</v>
      </c>
      <c r="AA140" s="272">
        <v>1.2422299999999999</v>
      </c>
      <c r="AB140" s="272">
        <v>11.467420000000001</v>
      </c>
      <c r="AD140" s="272">
        <v>19637.82991</v>
      </c>
      <c r="AE140" s="157">
        <v>1386.3568600000001</v>
      </c>
      <c r="AF140" s="184">
        <v>-58.071760000000005</v>
      </c>
      <c r="AG140" s="272">
        <v>-8217.8479900000002</v>
      </c>
      <c r="AH140" s="272">
        <v>478.06799999999998</v>
      </c>
      <c r="AI140" s="184">
        <v>79.796000000000006</v>
      </c>
      <c r="AJ140" s="272">
        <v>10550.16516</v>
      </c>
      <c r="AL140" s="272">
        <v>31200</v>
      </c>
      <c r="AM140" s="184">
        <v>0</v>
      </c>
      <c r="AN140" s="272">
        <v>8700</v>
      </c>
      <c r="AO140" s="343">
        <v>5884</v>
      </c>
      <c r="AP140" s="332">
        <v>8.3000000000000007</v>
      </c>
      <c r="AQ140" s="448"/>
      <c r="AS140" s="455">
        <v>4146.1225100000001</v>
      </c>
      <c r="AT140" s="272">
        <v>21933.836210000001</v>
      </c>
      <c r="AU140" s="450"/>
      <c r="AV140" s="334">
        <v>9213.6547399999999</v>
      </c>
      <c r="AW140" s="334">
        <v>430.37246999999996</v>
      </c>
      <c r="AX140" s="334">
        <v>1823.4599099999998</v>
      </c>
      <c r="AY140" s="334">
        <v>11467.48712</v>
      </c>
      <c r="AZ140" s="334">
        <v>10272.326999999999</v>
      </c>
      <c r="BA140" s="272">
        <v>236.09394</v>
      </c>
      <c r="BB140" s="333">
        <v>1280.6874700000001</v>
      </c>
      <c r="BC140" s="272">
        <v>568.58879000000002</v>
      </c>
      <c r="BD140" s="272">
        <v>473.51990000000001</v>
      </c>
      <c r="BE140" s="334">
        <v>3002.5757799999997</v>
      </c>
      <c r="BG140" s="331">
        <v>2526.8631500000001</v>
      </c>
      <c r="BH140" s="334">
        <v>0</v>
      </c>
      <c r="BI140" s="331">
        <v>0</v>
      </c>
      <c r="BJ140" s="334">
        <v>475.71262999999999</v>
      </c>
      <c r="BK140" s="334">
        <v>0</v>
      </c>
      <c r="BL140" s="334">
        <v>0</v>
      </c>
      <c r="BM140" s="331">
        <v>3.9913499999999997</v>
      </c>
      <c r="BN140" s="334">
        <v>471.72128000000004</v>
      </c>
      <c r="BP140" s="334">
        <v>20202.80978</v>
      </c>
      <c r="BQ140" s="311">
        <v>1757.77943</v>
      </c>
      <c r="BR140" s="272">
        <v>-1244.79636</v>
      </c>
      <c r="BS140" s="461">
        <v>-3865.5770200000002</v>
      </c>
      <c r="BT140" s="272">
        <v>62.461599999999997</v>
      </c>
      <c r="BU140" s="272">
        <v>300.57799999999997</v>
      </c>
      <c r="BV140" s="333">
        <v>10354.607840000001</v>
      </c>
      <c r="BX140" s="272">
        <v>34300</v>
      </c>
      <c r="BY140" s="469">
        <v>0</v>
      </c>
      <c r="BZ140" s="469">
        <v>3100</v>
      </c>
      <c r="CA140" s="552"/>
      <c r="CB140" s="335">
        <v>8.3000000000000007</v>
      </c>
      <c r="CC140" s="471">
        <f t="shared" si="2"/>
        <v>8.3000000000000007</v>
      </c>
      <c r="CD140" s="558"/>
      <c r="CE140" s="272"/>
      <c r="CF140" s="262"/>
      <c r="CI140" s="158">
        <v>0</v>
      </c>
      <c r="CJ140" s="331">
        <v>11063.206600028121</v>
      </c>
      <c r="CK140" s="331">
        <v>11898.208446063969</v>
      </c>
      <c r="CL140" s="331">
        <v>12821.886600706664</v>
      </c>
      <c r="CM140" s="472">
        <v>14378.035958914765</v>
      </c>
      <c r="CN140" s="472">
        <v>14937.230107736961</v>
      </c>
      <c r="CO140" s="480">
        <v>-1541.7619999999999</v>
      </c>
      <c r="CP140" s="557"/>
      <c r="CQ140" s="474">
        <v>0</v>
      </c>
      <c r="CR140" s="474">
        <v>0</v>
      </c>
    </row>
    <row r="141" spans="1:96" ht="12.75" x14ac:dyDescent="0.2">
      <c r="A141" s="154">
        <v>441</v>
      </c>
      <c r="B141" s="156" t="s">
        <v>171</v>
      </c>
      <c r="C141" s="325">
        <v>4396</v>
      </c>
      <c r="D141" s="270">
        <v>8.36</v>
      </c>
      <c r="E141" s="185"/>
      <c r="G141" s="272">
        <v>3568.5508799999998</v>
      </c>
      <c r="H141" s="272">
        <v>14132.572880000002</v>
      </c>
      <c r="I141" s="272"/>
      <c r="J141" s="272">
        <v>7044.3634499999998</v>
      </c>
      <c r="K141" s="272">
        <v>1534.2720400000001</v>
      </c>
      <c r="L141" s="272">
        <v>1711.91365</v>
      </c>
      <c r="M141" s="272">
        <v>10290.549140000001</v>
      </c>
      <c r="N141" s="272">
        <v>789.99900000000002</v>
      </c>
      <c r="O141" s="272">
        <v>392.23894999999999</v>
      </c>
      <c r="P141" s="272">
        <v>95.943479999999994</v>
      </c>
      <c r="Q141" s="272">
        <v>262.61174999999997</v>
      </c>
      <c r="R141" s="272">
        <v>48.063679999999998</v>
      </c>
      <c r="S141" s="272">
        <v>1027.36968</v>
      </c>
      <c r="U141" s="272">
        <v>1741.5141999999998</v>
      </c>
      <c r="V141" s="272">
        <v>0</v>
      </c>
      <c r="W141" s="272">
        <v>0</v>
      </c>
      <c r="X141" s="272">
        <v>-714.14452000000006</v>
      </c>
      <c r="Y141" s="272">
        <v>-627.32668999999999</v>
      </c>
      <c r="Z141" s="272">
        <v>0</v>
      </c>
      <c r="AA141" s="272">
        <v>0</v>
      </c>
      <c r="AB141" s="272">
        <v>-86.817830000000001</v>
      </c>
      <c r="AD141" s="272">
        <v>13121.8519</v>
      </c>
      <c r="AE141" s="157">
        <v>879.25966000000005</v>
      </c>
      <c r="AF141" s="184">
        <v>-148.11001999999999</v>
      </c>
      <c r="AG141" s="272">
        <v>-1841.1414499999998</v>
      </c>
      <c r="AH141" s="272">
        <v>38.299999999999997</v>
      </c>
      <c r="AI141" s="184">
        <v>237.16547</v>
      </c>
      <c r="AJ141" s="272">
        <v>10597.62464</v>
      </c>
      <c r="AL141" s="272">
        <v>3635.1816600000002</v>
      </c>
      <c r="AM141" s="184">
        <v>0</v>
      </c>
      <c r="AN141" s="272">
        <v>-168.63444000000001</v>
      </c>
      <c r="AO141" s="343">
        <v>4358</v>
      </c>
      <c r="AP141" s="332">
        <v>8.8000000000000007</v>
      </c>
      <c r="AQ141" s="448"/>
      <c r="AS141" s="455">
        <v>4224.3262000000004</v>
      </c>
      <c r="AT141" s="272">
        <v>14724.506079999999</v>
      </c>
      <c r="AU141" s="450"/>
      <c r="AV141" s="334">
        <v>7511.5786500000004</v>
      </c>
      <c r="AW141" s="334">
        <v>1261.26936</v>
      </c>
      <c r="AX141" s="334">
        <v>1879.22081</v>
      </c>
      <c r="AY141" s="334">
        <v>10652.06882</v>
      </c>
      <c r="AZ141" s="334">
        <v>786.36500000000001</v>
      </c>
      <c r="BA141" s="272">
        <v>275.14565000000005</v>
      </c>
      <c r="BB141" s="458">
        <v>131.81432999999998</v>
      </c>
      <c r="BC141" s="272">
        <v>754.78571999999997</v>
      </c>
      <c r="BD141" s="272">
        <v>125.84975</v>
      </c>
      <c r="BE141" s="334">
        <v>1710.5212300000001</v>
      </c>
      <c r="BG141" s="331">
        <v>1715.3462500000001</v>
      </c>
      <c r="BH141" s="331">
        <v>0</v>
      </c>
      <c r="BI141" s="331">
        <v>0</v>
      </c>
      <c r="BJ141" s="334">
        <v>-4.8250200000000003</v>
      </c>
      <c r="BK141" s="331">
        <v>-603.28581999999994</v>
      </c>
      <c r="BL141" s="331">
        <v>0</v>
      </c>
      <c r="BM141" s="331">
        <v>0</v>
      </c>
      <c r="BN141" s="334">
        <v>598.46080000000006</v>
      </c>
      <c r="BP141" s="334">
        <v>13720.3127</v>
      </c>
      <c r="BQ141" s="311">
        <v>1137.8088600000001</v>
      </c>
      <c r="BR141" s="272">
        <v>-572.69029</v>
      </c>
      <c r="BS141" s="461">
        <v>-366.70195000000001</v>
      </c>
      <c r="BT141" s="272">
        <v>175</v>
      </c>
      <c r="BU141" s="272">
        <v>695.23699999999997</v>
      </c>
      <c r="BV141" s="333">
        <v>11580.90559</v>
      </c>
      <c r="BX141" s="272">
        <v>4466.5472199999995</v>
      </c>
      <c r="BY141" s="469">
        <v>0</v>
      </c>
      <c r="BZ141" s="469">
        <v>831.36556000000007</v>
      </c>
      <c r="CA141" s="552"/>
      <c r="CB141" s="335">
        <v>8.8000000000000007</v>
      </c>
      <c r="CC141" s="471">
        <f t="shared" si="2"/>
        <v>8.8000000000000007</v>
      </c>
      <c r="CD141" s="558"/>
      <c r="CE141" s="272"/>
      <c r="CF141" s="262"/>
      <c r="CI141" s="158">
        <v>0</v>
      </c>
      <c r="CJ141" s="331">
        <v>1658.7387268060629</v>
      </c>
      <c r="CK141" s="331">
        <v>1611.1248253143576</v>
      </c>
      <c r="CL141" s="331">
        <v>1826.039340903654</v>
      </c>
      <c r="CM141" s="472">
        <v>1929.2928296577786</v>
      </c>
      <c r="CN141" s="472">
        <v>1933.3783404421592</v>
      </c>
      <c r="CO141" s="480">
        <v>-15.468999999999999</v>
      </c>
      <c r="CP141" s="557"/>
      <c r="CQ141" s="474">
        <v>0</v>
      </c>
      <c r="CR141" s="474">
        <v>0</v>
      </c>
    </row>
    <row r="142" spans="1:96" x14ac:dyDescent="0.2">
      <c r="A142" s="154">
        <v>475</v>
      </c>
      <c r="B142" s="156" t="s">
        <v>172</v>
      </c>
      <c r="C142" s="325">
        <v>5456</v>
      </c>
      <c r="D142" s="270">
        <v>8.86</v>
      </c>
      <c r="E142" s="185"/>
      <c r="G142" s="272">
        <v>6814.1151600000003</v>
      </c>
      <c r="H142" s="272">
        <v>21946.192260000003</v>
      </c>
      <c r="I142" s="272"/>
      <c r="J142" s="272">
        <v>9951.5494299999991</v>
      </c>
      <c r="K142" s="272">
        <v>1359.93236</v>
      </c>
      <c r="L142" s="272">
        <v>2489.0810200000001</v>
      </c>
      <c r="M142" s="272">
        <v>13800.562810000001</v>
      </c>
      <c r="N142" s="272">
        <v>5635.9620000000004</v>
      </c>
      <c r="O142" s="272">
        <v>47.941379999999995</v>
      </c>
      <c r="P142" s="272">
        <v>548.41233</v>
      </c>
      <c r="Q142" s="272">
        <v>45.338080000000005</v>
      </c>
      <c r="R142" s="272">
        <v>0.49924000000000002</v>
      </c>
      <c r="S142" s="272">
        <v>3909.1041500000001</v>
      </c>
      <c r="U142" s="272">
        <v>2359.4965899999997</v>
      </c>
      <c r="V142" s="272">
        <v>0</v>
      </c>
      <c r="W142" s="272">
        <v>0</v>
      </c>
      <c r="X142" s="272">
        <v>1549.6075600000001</v>
      </c>
      <c r="Y142" s="272">
        <v>-28</v>
      </c>
      <c r="Z142" s="272">
        <v>1300</v>
      </c>
      <c r="AA142" s="272">
        <v>0</v>
      </c>
      <c r="AB142" s="272">
        <v>277.60755999999998</v>
      </c>
      <c r="AD142" s="272">
        <v>6116.5098400000006</v>
      </c>
      <c r="AE142" s="157">
        <v>3814.7358599999998</v>
      </c>
      <c r="AF142" s="184">
        <v>-94.368289999999988</v>
      </c>
      <c r="AG142" s="272">
        <v>-2279.88391</v>
      </c>
      <c r="AH142" s="272">
        <v>175.83375000000001</v>
      </c>
      <c r="AI142" s="184">
        <v>114.22482000000001</v>
      </c>
      <c r="AJ142" s="272">
        <v>1990.06602</v>
      </c>
      <c r="AL142" s="272">
        <v>28083.682200000003</v>
      </c>
      <c r="AM142" s="184">
        <v>60.514000000000003</v>
      </c>
      <c r="AN142" s="272">
        <v>1525.0693999999999</v>
      </c>
      <c r="AO142" s="343">
        <v>5415</v>
      </c>
      <c r="AP142" s="332">
        <v>8.9</v>
      </c>
      <c r="AQ142" s="448"/>
      <c r="AS142" s="455">
        <v>6297.0149900000006</v>
      </c>
      <c r="AT142" s="272">
        <v>21788.045019999998</v>
      </c>
      <c r="AU142" s="450"/>
      <c r="AV142" s="334">
        <v>10041.38125</v>
      </c>
      <c r="AW142" s="334">
        <v>1117.6009299999998</v>
      </c>
      <c r="AX142" s="334">
        <v>2595.4836600000003</v>
      </c>
      <c r="AY142" s="334">
        <v>13754.465840000001</v>
      </c>
      <c r="AZ142" s="334">
        <v>5598.3239999999996</v>
      </c>
      <c r="BA142" s="272">
        <v>51.060099999999998</v>
      </c>
      <c r="BB142" s="333">
        <v>834.83015999999998</v>
      </c>
      <c r="BC142" s="272">
        <v>72.819789999999998</v>
      </c>
      <c r="BD142" s="272">
        <v>2.1426699999999999</v>
      </c>
      <c r="BE142" s="334">
        <v>3192.9135099999999</v>
      </c>
      <c r="BG142" s="331">
        <v>2664.8757099999998</v>
      </c>
      <c r="BH142" s="331">
        <v>0</v>
      </c>
      <c r="BI142" s="331">
        <v>0</v>
      </c>
      <c r="BJ142" s="334">
        <v>528.03780000000006</v>
      </c>
      <c r="BK142" s="334">
        <v>-28</v>
      </c>
      <c r="BL142" s="334">
        <v>400</v>
      </c>
      <c r="BM142" s="331">
        <v>0</v>
      </c>
      <c r="BN142" s="334">
        <v>156.03779999999998</v>
      </c>
      <c r="BP142" s="334">
        <v>6430.2534599999999</v>
      </c>
      <c r="BQ142" s="311">
        <v>3025.9653699999999</v>
      </c>
      <c r="BR142" s="272">
        <v>-166.94814000000002</v>
      </c>
      <c r="BS142" s="461">
        <v>-4117.82377</v>
      </c>
      <c r="BT142" s="272">
        <v>83.469949999999997</v>
      </c>
      <c r="BU142" s="272">
        <v>571.90242000000001</v>
      </c>
      <c r="BV142" s="333">
        <v>627.97246999999993</v>
      </c>
      <c r="BX142" s="272">
        <v>27328.751600000003</v>
      </c>
      <c r="BY142" s="469">
        <v>-145.476</v>
      </c>
      <c r="BZ142" s="469">
        <v>-754.93060000000003</v>
      </c>
      <c r="CA142" s="552"/>
      <c r="CB142" s="335">
        <v>8.9</v>
      </c>
      <c r="CC142" s="471">
        <f t="shared" si="2"/>
        <v>8.9</v>
      </c>
      <c r="CD142" s="558"/>
      <c r="CE142" s="272"/>
      <c r="CF142" s="262"/>
      <c r="CI142" s="158">
        <v>0</v>
      </c>
      <c r="CJ142" s="331">
        <v>6133.2723311403979</v>
      </c>
      <c r="CK142" s="331">
        <v>6397.0910866411841</v>
      </c>
      <c r="CL142" s="331">
        <v>6559.1576142545291</v>
      </c>
      <c r="CM142" s="472">
        <v>7401.5975056824109</v>
      </c>
      <c r="CN142" s="472">
        <v>7613.5260859266255</v>
      </c>
      <c r="CO142" s="480">
        <v>58.674999999999997</v>
      </c>
      <c r="CP142" s="557"/>
      <c r="CQ142" s="474">
        <v>60.288550000000001</v>
      </c>
      <c r="CR142" s="474">
        <v>44.246639999999999</v>
      </c>
    </row>
    <row r="143" spans="1:96" x14ac:dyDescent="0.2">
      <c r="A143" s="154">
        <v>480</v>
      </c>
      <c r="B143" s="156" t="s">
        <v>173</v>
      </c>
      <c r="C143" s="325">
        <v>1930</v>
      </c>
      <c r="D143" s="270">
        <v>8.1100000000000012</v>
      </c>
      <c r="E143" s="185"/>
      <c r="G143" s="272">
        <v>1452.30495</v>
      </c>
      <c r="H143" s="272">
        <v>6293.2680599999994</v>
      </c>
      <c r="I143" s="272"/>
      <c r="J143" s="272">
        <v>2801.67848</v>
      </c>
      <c r="K143" s="272">
        <v>305.83148999999997</v>
      </c>
      <c r="L143" s="272">
        <v>543.26338999999996</v>
      </c>
      <c r="M143" s="272">
        <v>3650.7733599999997</v>
      </c>
      <c r="N143" s="272">
        <v>1767.3330000000001</v>
      </c>
      <c r="O143" s="272">
        <v>23.416180000000001</v>
      </c>
      <c r="P143" s="272">
        <v>33.123910000000002</v>
      </c>
      <c r="Q143" s="272">
        <v>10.43328</v>
      </c>
      <c r="R143" s="272">
        <v>0.37248000000000003</v>
      </c>
      <c r="S143" s="272">
        <v>577.49631999999997</v>
      </c>
      <c r="U143" s="272">
        <v>508.74480999999997</v>
      </c>
      <c r="V143" s="272">
        <v>0</v>
      </c>
      <c r="W143" s="272">
        <v>0</v>
      </c>
      <c r="X143" s="272">
        <v>68.751509999999996</v>
      </c>
      <c r="Y143" s="272">
        <v>-23.000040000000002</v>
      </c>
      <c r="Z143" s="272">
        <v>0</v>
      </c>
      <c r="AA143" s="272">
        <v>0</v>
      </c>
      <c r="AB143" s="272">
        <v>91.751550000000009</v>
      </c>
      <c r="AD143" s="272">
        <v>3877.0511500000002</v>
      </c>
      <c r="AE143" s="157">
        <v>515.80416000000002</v>
      </c>
      <c r="AF143" s="184">
        <v>-61.692160000000001</v>
      </c>
      <c r="AG143" s="272">
        <v>-684.43775000000005</v>
      </c>
      <c r="AH143" s="272">
        <v>72.239999999999995</v>
      </c>
      <c r="AI143" s="184">
        <v>65.14</v>
      </c>
      <c r="AJ143" s="272">
        <v>1649.17976</v>
      </c>
      <c r="AL143" s="272">
        <v>1623.3987999999999</v>
      </c>
      <c r="AM143" s="184">
        <v>16.95524</v>
      </c>
      <c r="AN143" s="272">
        <v>-333.99119999999999</v>
      </c>
      <c r="AO143" s="343">
        <v>1910</v>
      </c>
      <c r="AP143" s="332">
        <v>8.5</v>
      </c>
      <c r="AQ143" s="448"/>
      <c r="AS143" s="455">
        <v>1470.7636599999998</v>
      </c>
      <c r="AT143" s="272">
        <v>6664.6248499999992</v>
      </c>
      <c r="AU143" s="450"/>
      <c r="AV143" s="334">
        <v>3166.6998399999998</v>
      </c>
      <c r="AW143" s="334">
        <v>236.63192000000001</v>
      </c>
      <c r="AX143" s="334">
        <v>590.13131999999996</v>
      </c>
      <c r="AY143" s="334">
        <v>3993.46308</v>
      </c>
      <c r="AZ143" s="334">
        <v>1666.463</v>
      </c>
      <c r="BA143" s="272">
        <v>29.62302</v>
      </c>
      <c r="BB143" s="333">
        <v>45.40034</v>
      </c>
      <c r="BC143" s="272">
        <v>18.272369999999999</v>
      </c>
      <c r="BD143" s="272">
        <v>0.20185</v>
      </c>
      <c r="BE143" s="334">
        <v>468.35809</v>
      </c>
      <c r="BG143" s="331">
        <v>521.46009000000004</v>
      </c>
      <c r="BH143" s="331">
        <v>0</v>
      </c>
      <c r="BI143" s="331">
        <v>0</v>
      </c>
      <c r="BJ143" s="334">
        <v>-53.101999999999997</v>
      </c>
      <c r="BK143" s="334">
        <v>-31.333320000000001</v>
      </c>
      <c r="BL143" s="331">
        <v>0</v>
      </c>
      <c r="BM143" s="331">
        <v>0</v>
      </c>
      <c r="BN143" s="334">
        <v>-21.76868</v>
      </c>
      <c r="BP143" s="334">
        <v>3855.2824699999996</v>
      </c>
      <c r="BQ143" s="311">
        <v>468.35809</v>
      </c>
      <c r="BR143" s="272">
        <v>0</v>
      </c>
      <c r="BS143" s="461">
        <v>-887.94725000000005</v>
      </c>
      <c r="BT143" s="272">
        <v>138.37611999999999</v>
      </c>
      <c r="BU143" s="272">
        <v>0</v>
      </c>
      <c r="BV143" s="333">
        <v>1079.1604299999999</v>
      </c>
      <c r="BX143" s="272">
        <v>1289.4076</v>
      </c>
      <c r="BY143" s="469">
        <v>16.95524</v>
      </c>
      <c r="BZ143" s="469">
        <v>-333.99119999999999</v>
      </c>
      <c r="CA143" s="552"/>
      <c r="CB143" s="335">
        <v>8.5</v>
      </c>
      <c r="CC143" s="471">
        <f t="shared" si="2"/>
        <v>8.5</v>
      </c>
      <c r="CD143" s="558"/>
      <c r="CE143" s="272"/>
      <c r="CF143" s="262"/>
      <c r="CI143" s="158">
        <v>0</v>
      </c>
      <c r="CJ143" s="331">
        <v>1744.8637774281779</v>
      </c>
      <c r="CK143" s="331">
        <v>1647.6699770259861</v>
      </c>
      <c r="CL143" s="331">
        <v>1944.2185358532229</v>
      </c>
      <c r="CM143" s="472">
        <v>2119.7145525500655</v>
      </c>
      <c r="CN143" s="472">
        <v>2146.9553233427</v>
      </c>
      <c r="CO143" s="480">
        <v>-467.46</v>
      </c>
      <c r="CP143" s="557"/>
      <c r="CQ143" s="474">
        <v>0</v>
      </c>
      <c r="CR143" s="474">
        <v>0</v>
      </c>
    </row>
    <row r="144" spans="1:96" x14ac:dyDescent="0.2">
      <c r="A144" s="154">
        <v>481</v>
      </c>
      <c r="B144" s="156" t="s">
        <v>174</v>
      </c>
      <c r="C144" s="325">
        <v>9619</v>
      </c>
      <c r="D144" s="270">
        <v>8.11</v>
      </c>
      <c r="E144" s="185"/>
      <c r="G144" s="272">
        <v>3048.3054500000003</v>
      </c>
      <c r="H144" s="272">
        <v>30304.59835</v>
      </c>
      <c r="I144" s="272"/>
      <c r="J144" s="272">
        <v>20257.364870000001</v>
      </c>
      <c r="K144" s="272">
        <v>1847.9351499999998</v>
      </c>
      <c r="L144" s="272">
        <v>2235.76422</v>
      </c>
      <c r="M144" s="272">
        <v>24341.06424</v>
      </c>
      <c r="N144" s="272">
        <v>6262.8540000000003</v>
      </c>
      <c r="O144" s="272">
        <v>35.098140000000001</v>
      </c>
      <c r="P144" s="272">
        <v>1039.6321399999999</v>
      </c>
      <c r="Q144" s="272">
        <v>14.49306</v>
      </c>
      <c r="R144" s="272">
        <v>6.16662</v>
      </c>
      <c r="S144" s="272">
        <v>2353.7927799999998</v>
      </c>
      <c r="U144" s="272">
        <v>3022.80699</v>
      </c>
      <c r="V144" s="272">
        <v>50</v>
      </c>
      <c r="W144" s="272">
        <v>0</v>
      </c>
      <c r="X144" s="272">
        <v>-619.01420999999993</v>
      </c>
      <c r="Y144" s="272">
        <v>-85.71687</v>
      </c>
      <c r="Z144" s="272">
        <v>0</v>
      </c>
      <c r="AA144" s="272">
        <v>0</v>
      </c>
      <c r="AB144" s="272">
        <v>-533.29733999999996</v>
      </c>
      <c r="AD144" s="272">
        <v>6233.9461799999999</v>
      </c>
      <c r="AE144" s="157">
        <v>2298.4641900000001</v>
      </c>
      <c r="AF144" s="184">
        <v>-105.32858999999999</v>
      </c>
      <c r="AG144" s="272">
        <v>-2994.0530099999996</v>
      </c>
      <c r="AH144" s="272">
        <v>5</v>
      </c>
      <c r="AI144" s="184">
        <v>1590.2729199999999</v>
      </c>
      <c r="AJ144" s="272">
        <v>1860.5124900000001</v>
      </c>
      <c r="AL144" s="272">
        <v>38243.56179</v>
      </c>
      <c r="AM144" s="184">
        <v>160.93787</v>
      </c>
      <c r="AN144" s="272">
        <v>-2404.2672200000002</v>
      </c>
      <c r="AO144" s="343">
        <v>9592</v>
      </c>
      <c r="AP144" s="332">
        <v>8.1</v>
      </c>
      <c r="AQ144" s="448"/>
      <c r="AS144" s="455">
        <v>4537.2103399999996</v>
      </c>
      <c r="AT144" s="272">
        <v>29627.59952</v>
      </c>
      <c r="AU144" s="450"/>
      <c r="AV144" s="334">
        <v>20182.31479</v>
      </c>
      <c r="AW144" s="334">
        <v>1374.3593999999998</v>
      </c>
      <c r="AX144" s="334">
        <v>2467.1826700000001</v>
      </c>
      <c r="AY144" s="334">
        <v>24023.85686</v>
      </c>
      <c r="AZ144" s="334">
        <v>5173.6890000000003</v>
      </c>
      <c r="BA144" s="272">
        <v>35.506260000000005</v>
      </c>
      <c r="BB144" s="333">
        <v>1212.6518700000001</v>
      </c>
      <c r="BC144" s="272">
        <v>193.80716000000001</v>
      </c>
      <c r="BD144" s="272">
        <v>8.7631399999999999</v>
      </c>
      <c r="BE144" s="334">
        <v>3115.0550899999998</v>
      </c>
      <c r="BG144" s="331">
        <v>3704.52385</v>
      </c>
      <c r="BH144" s="331">
        <v>71.900000000000006</v>
      </c>
      <c r="BI144" s="331">
        <v>0</v>
      </c>
      <c r="BJ144" s="334">
        <v>-517.56876</v>
      </c>
      <c r="BK144" s="331">
        <v>-85.71687</v>
      </c>
      <c r="BL144" s="331">
        <v>0</v>
      </c>
      <c r="BM144" s="331">
        <v>0</v>
      </c>
      <c r="BN144" s="334">
        <v>-431.85159000000004</v>
      </c>
      <c r="BP144" s="334">
        <v>5802.0945899999997</v>
      </c>
      <c r="BQ144" s="311">
        <v>3002.4886099999999</v>
      </c>
      <c r="BR144" s="272">
        <v>-184.46648000000002</v>
      </c>
      <c r="BS144" s="461">
        <v>-2099.2825800000001</v>
      </c>
      <c r="BT144" s="272">
        <v>10.9025</v>
      </c>
      <c r="BU144" s="272">
        <v>377.34535</v>
      </c>
      <c r="BV144" s="333">
        <v>379.93079999999998</v>
      </c>
      <c r="BX144" s="272">
        <v>35602.443570000003</v>
      </c>
      <c r="BY144" s="469">
        <v>215.87637000000001</v>
      </c>
      <c r="BZ144" s="469">
        <v>-2641.1182200000003</v>
      </c>
      <c r="CA144" s="552"/>
      <c r="CB144" s="335">
        <v>8.1</v>
      </c>
      <c r="CC144" s="471">
        <f t="shared" si="2"/>
        <v>8.1</v>
      </c>
      <c r="CD144" s="558"/>
      <c r="CE144" s="272"/>
      <c r="CF144" s="262"/>
      <c r="CI144" s="158">
        <v>0</v>
      </c>
      <c r="CJ144" s="331">
        <v>5215.4933121465892</v>
      </c>
      <c r="CK144" s="331">
        <v>4996.5825778222197</v>
      </c>
      <c r="CL144" s="331">
        <v>5085.7837735599187</v>
      </c>
      <c r="CM144" s="472">
        <v>5212.3920254804461</v>
      </c>
      <c r="CN144" s="472">
        <v>5422.6683311205934</v>
      </c>
      <c r="CO144" s="480">
        <v>-2008.9870000000001</v>
      </c>
      <c r="CP144" s="557"/>
      <c r="CQ144" s="474">
        <v>2.375</v>
      </c>
      <c r="CR144" s="474">
        <v>0</v>
      </c>
    </row>
    <row r="145" spans="1:96" x14ac:dyDescent="0.2">
      <c r="A145" s="154">
        <v>483</v>
      </c>
      <c r="B145" s="156" t="s">
        <v>175</v>
      </c>
      <c r="C145" s="325">
        <v>1055</v>
      </c>
      <c r="D145" s="270">
        <v>9.86</v>
      </c>
      <c r="E145" s="185"/>
      <c r="G145" s="272">
        <v>1859.8454899999999</v>
      </c>
      <c r="H145" s="272">
        <v>6084.9050999999999</v>
      </c>
      <c r="I145" s="272"/>
      <c r="J145" s="272">
        <v>1358.2790199999999</v>
      </c>
      <c r="K145" s="272">
        <v>135.50117</v>
      </c>
      <c r="L145" s="272">
        <v>340.8175</v>
      </c>
      <c r="M145" s="272">
        <v>1834.5976900000001</v>
      </c>
      <c r="N145" s="272">
        <v>2067.75</v>
      </c>
      <c r="O145" s="272">
        <v>0.88500000000000001</v>
      </c>
      <c r="P145" s="272">
        <v>121.57575999999999</v>
      </c>
      <c r="Q145" s="272">
        <v>123.60563999999999</v>
      </c>
      <c r="R145" s="272">
        <v>7.5980799999999995</v>
      </c>
      <c r="S145" s="272">
        <v>-327.39512000000002</v>
      </c>
      <c r="U145" s="272">
        <v>342.53934000000004</v>
      </c>
      <c r="V145" s="272">
        <v>0</v>
      </c>
      <c r="W145" s="272">
        <v>0</v>
      </c>
      <c r="X145" s="272">
        <v>-669.93445999999994</v>
      </c>
      <c r="Y145" s="272">
        <v>0</v>
      </c>
      <c r="Z145" s="272">
        <v>0</v>
      </c>
      <c r="AA145" s="272">
        <v>0</v>
      </c>
      <c r="AB145" s="272">
        <v>-669.93445999999994</v>
      </c>
      <c r="AD145" s="272">
        <v>489.63558000000012</v>
      </c>
      <c r="AE145" s="157">
        <v>-326.57414</v>
      </c>
      <c r="AF145" s="184">
        <v>0.82098000000000004</v>
      </c>
      <c r="AG145" s="272">
        <v>-112.29407</v>
      </c>
      <c r="AH145" s="272">
        <v>23.27327</v>
      </c>
      <c r="AI145" s="184">
        <v>272.20961</v>
      </c>
      <c r="AJ145" s="272">
        <v>2915.08221</v>
      </c>
      <c r="AL145" s="272">
        <v>4266.723</v>
      </c>
      <c r="AM145" s="184">
        <v>1.5</v>
      </c>
      <c r="AN145" s="272">
        <v>1026.306</v>
      </c>
      <c r="AO145" s="343">
        <v>1059</v>
      </c>
      <c r="AP145" s="332">
        <v>10</v>
      </c>
      <c r="AQ145" s="448"/>
      <c r="AS145" s="455">
        <v>1898.93229</v>
      </c>
      <c r="AT145" s="272">
        <v>6049.0642600000001</v>
      </c>
      <c r="AU145" s="450"/>
      <c r="AV145" s="334">
        <v>1523.13779</v>
      </c>
      <c r="AW145" s="334">
        <v>118.11403</v>
      </c>
      <c r="AX145" s="334">
        <v>378.80466999999999</v>
      </c>
      <c r="AY145" s="334">
        <v>2020.0564899999999</v>
      </c>
      <c r="AZ145" s="334">
        <v>1718.961</v>
      </c>
      <c r="BA145" s="272">
        <v>3.0337399999999999</v>
      </c>
      <c r="BB145" s="333">
        <v>158.61682999999999</v>
      </c>
      <c r="BC145" s="272">
        <v>140.83664999999999</v>
      </c>
      <c r="BD145" s="272">
        <v>31.225680000000001</v>
      </c>
      <c r="BE145" s="334">
        <v>-457.08659999999998</v>
      </c>
      <c r="BG145" s="331">
        <v>318.93777</v>
      </c>
      <c r="BH145" s="334">
        <v>0</v>
      </c>
      <c r="BI145" s="331">
        <v>0</v>
      </c>
      <c r="BJ145" s="334">
        <v>-776.02436999999998</v>
      </c>
      <c r="BK145" s="334">
        <v>0</v>
      </c>
      <c r="BL145" s="331">
        <v>0</v>
      </c>
      <c r="BM145" s="331">
        <v>0</v>
      </c>
      <c r="BN145" s="334">
        <v>-776.02436999999998</v>
      </c>
      <c r="BP145" s="334">
        <v>-286.38878999999997</v>
      </c>
      <c r="BQ145" s="311">
        <v>-457.90758</v>
      </c>
      <c r="BR145" s="272">
        <v>-0.82098000000000004</v>
      </c>
      <c r="BS145" s="461">
        <v>-106.55803</v>
      </c>
      <c r="BT145" s="272">
        <v>16.028280000000002</v>
      </c>
      <c r="BU145" s="272">
        <v>0</v>
      </c>
      <c r="BV145" s="333">
        <v>3109.7820200000001</v>
      </c>
      <c r="BX145" s="272">
        <v>5201.9769999999999</v>
      </c>
      <c r="BY145" s="469">
        <v>1.5</v>
      </c>
      <c r="BZ145" s="469">
        <v>935.25400000000002</v>
      </c>
      <c r="CA145" s="552"/>
      <c r="CB145" s="335">
        <v>10</v>
      </c>
      <c r="CC145" s="471">
        <f t="shared" si="2"/>
        <v>10</v>
      </c>
      <c r="CD145" s="558"/>
      <c r="CE145" s="272"/>
      <c r="CF145" s="262"/>
      <c r="CI145" s="158">
        <v>0</v>
      </c>
      <c r="CJ145" s="331">
        <v>1751.8489809459727</v>
      </c>
      <c r="CK145" s="331">
        <v>1791.5749531622082</v>
      </c>
      <c r="CL145" s="331">
        <v>1977.2602778469231</v>
      </c>
      <c r="CM145" s="472">
        <v>2185.2375846838813</v>
      </c>
      <c r="CN145" s="472">
        <v>2184.8779489230037</v>
      </c>
      <c r="CO145" s="480">
        <v>-203.286</v>
      </c>
      <c r="CP145" s="557"/>
      <c r="CQ145" s="474">
        <v>0</v>
      </c>
      <c r="CR145" s="474">
        <v>0</v>
      </c>
    </row>
    <row r="146" spans="1:96" x14ac:dyDescent="0.2">
      <c r="A146" s="154">
        <v>484</v>
      </c>
      <c r="B146" s="156" t="s">
        <v>176</v>
      </c>
      <c r="C146" s="325">
        <v>2966</v>
      </c>
      <c r="D146" s="270">
        <v>7.86</v>
      </c>
      <c r="E146" s="185"/>
      <c r="G146" s="272">
        <v>3857.3976699999998</v>
      </c>
      <c r="H146" s="272">
        <v>12855.264580000001</v>
      </c>
      <c r="I146" s="272"/>
      <c r="J146" s="272">
        <v>3968.7287099999999</v>
      </c>
      <c r="K146" s="272">
        <v>1457.53898</v>
      </c>
      <c r="L146" s="272">
        <v>1274.1769099999999</v>
      </c>
      <c r="M146" s="272">
        <v>6700.4445999999998</v>
      </c>
      <c r="N146" s="272">
        <v>1452.3810000000001</v>
      </c>
      <c r="O146" s="272">
        <v>116.20455</v>
      </c>
      <c r="P146" s="272">
        <v>39.345129999999997</v>
      </c>
      <c r="Q146" s="272">
        <v>53.427279999999996</v>
      </c>
      <c r="R146" s="272">
        <v>1.2869999999999999E-2</v>
      </c>
      <c r="S146" s="272">
        <v>-714.76747999999998</v>
      </c>
      <c r="U146" s="272">
        <v>1371.9782299999999</v>
      </c>
      <c r="V146" s="272">
        <v>0</v>
      </c>
      <c r="W146" s="272">
        <v>0</v>
      </c>
      <c r="X146" s="272">
        <v>-2086.7457100000001</v>
      </c>
      <c r="Y146" s="272">
        <v>0</v>
      </c>
      <c r="Z146" s="272">
        <v>0</v>
      </c>
      <c r="AA146" s="272">
        <v>0</v>
      </c>
      <c r="AB146" s="272">
        <v>-2086.7457100000001</v>
      </c>
      <c r="AD146" s="272">
        <v>4971.5622000000003</v>
      </c>
      <c r="AE146" s="157">
        <v>-712.88096999999993</v>
      </c>
      <c r="AF146" s="184">
        <v>1.8865099999999999</v>
      </c>
      <c r="AG146" s="272">
        <v>-2564.3796699999998</v>
      </c>
      <c r="AH146" s="272">
        <v>14.999219999999999</v>
      </c>
      <c r="AI146" s="184">
        <v>1.25</v>
      </c>
      <c r="AJ146" s="272">
        <v>1101.2970299999999</v>
      </c>
      <c r="AL146" s="272">
        <v>3241.3069999999998</v>
      </c>
      <c r="AM146" s="184">
        <v>4.0526599999999995</v>
      </c>
      <c r="AN146" s="272">
        <v>716.12599999999998</v>
      </c>
      <c r="AO146" s="343">
        <v>2904</v>
      </c>
      <c r="AP146" s="332">
        <v>7.9</v>
      </c>
      <c r="AQ146" s="448"/>
      <c r="AS146" s="455">
        <v>3658.0892799999997</v>
      </c>
      <c r="AT146" s="272">
        <v>12211.16819</v>
      </c>
      <c r="AU146" s="450"/>
      <c r="AV146" s="334">
        <v>4466.8240599999999</v>
      </c>
      <c r="AW146" s="334">
        <v>2351.1563300000003</v>
      </c>
      <c r="AX146" s="334">
        <v>1397.24092</v>
      </c>
      <c r="AY146" s="334">
        <v>8215.221309999999</v>
      </c>
      <c r="AZ146" s="334">
        <v>2443.98</v>
      </c>
      <c r="BA146" s="272">
        <v>85.544529999999995</v>
      </c>
      <c r="BB146" s="333">
        <v>94.497679999999988</v>
      </c>
      <c r="BC146" s="272">
        <v>50.001629999999999</v>
      </c>
      <c r="BD146" s="272">
        <v>9.3203199999999988</v>
      </c>
      <c r="BE146" s="334">
        <v>2137.8505599999999</v>
      </c>
      <c r="BG146" s="331">
        <v>1436.4873</v>
      </c>
      <c r="BH146" s="331">
        <v>0</v>
      </c>
      <c r="BI146" s="331">
        <v>0</v>
      </c>
      <c r="BJ146" s="334">
        <v>701.36325999999997</v>
      </c>
      <c r="BK146" s="334">
        <v>0</v>
      </c>
      <c r="BL146" s="331">
        <v>0</v>
      </c>
      <c r="BM146" s="331">
        <v>0</v>
      </c>
      <c r="BN146" s="334">
        <v>701.36325999999997</v>
      </c>
      <c r="BP146" s="334">
        <v>5672.9254600000004</v>
      </c>
      <c r="BQ146" s="311">
        <v>2139.3177700000001</v>
      </c>
      <c r="BR146" s="272">
        <v>1.4672100000000001</v>
      </c>
      <c r="BS146" s="461">
        <v>-1934.9641799999999</v>
      </c>
      <c r="BT146" s="272">
        <v>0</v>
      </c>
      <c r="BU146" s="272">
        <v>2.2149999999999999</v>
      </c>
      <c r="BV146" s="333">
        <v>1492.9817</v>
      </c>
      <c r="BX146" s="272">
        <v>4102.433</v>
      </c>
      <c r="BY146" s="469">
        <v>100.11442</v>
      </c>
      <c r="BZ146" s="469">
        <v>861.12599999999998</v>
      </c>
      <c r="CA146" s="552"/>
      <c r="CB146" s="335">
        <v>8.9</v>
      </c>
      <c r="CC146" s="471">
        <f t="shared" si="2"/>
        <v>8.9</v>
      </c>
      <c r="CD146" s="558"/>
      <c r="CE146" s="272"/>
      <c r="CF146" s="262"/>
      <c r="CI146" s="158">
        <v>0</v>
      </c>
      <c r="CJ146" s="331">
        <v>2217.7891820094565</v>
      </c>
      <c r="CK146" s="331">
        <v>1695.244372136927</v>
      </c>
      <c r="CL146" s="331">
        <v>1930.6177101688515</v>
      </c>
      <c r="CM146" s="472">
        <v>2206.1050355577186</v>
      </c>
      <c r="CN146" s="472">
        <v>2517.7773101015532</v>
      </c>
      <c r="CO146" s="480">
        <v>491.61399999999998</v>
      </c>
      <c r="CP146" s="557"/>
      <c r="CQ146" s="474">
        <v>0</v>
      </c>
      <c r="CR146" s="474">
        <v>0</v>
      </c>
    </row>
    <row r="147" spans="1:96" x14ac:dyDescent="0.2">
      <c r="A147" s="154">
        <v>489</v>
      </c>
      <c r="B147" s="156" t="s">
        <v>177</v>
      </c>
      <c r="C147" s="325">
        <v>1752</v>
      </c>
      <c r="D147" s="270">
        <v>8.8600000000000012</v>
      </c>
      <c r="E147" s="185"/>
      <c r="G147" s="272">
        <v>3033.3532799999998</v>
      </c>
      <c r="H147" s="272">
        <v>8099.7964499999998</v>
      </c>
      <c r="I147" s="272"/>
      <c r="J147" s="272">
        <v>2758.6689200000001</v>
      </c>
      <c r="K147" s="272">
        <v>555.76406999999995</v>
      </c>
      <c r="L147" s="272">
        <v>541.86027000000001</v>
      </c>
      <c r="M147" s="272">
        <v>3856.2932599999999</v>
      </c>
      <c r="N147" s="272">
        <v>1995.4770000000001</v>
      </c>
      <c r="O147" s="272">
        <v>26.710979999999999</v>
      </c>
      <c r="P147" s="272">
        <v>265.80220000000003</v>
      </c>
      <c r="Q147" s="272">
        <v>51.467059999999996</v>
      </c>
      <c r="R147" s="272">
        <v>3.1536900000000001</v>
      </c>
      <c r="S147" s="272">
        <v>594.54923999999994</v>
      </c>
      <c r="U147" s="272">
        <v>1012.94912</v>
      </c>
      <c r="V147" s="272">
        <v>0</v>
      </c>
      <c r="W147" s="272">
        <v>0</v>
      </c>
      <c r="X147" s="272">
        <v>-418.39988</v>
      </c>
      <c r="Y147" s="272">
        <v>0</v>
      </c>
      <c r="Z147" s="272">
        <v>0</v>
      </c>
      <c r="AA147" s="272">
        <v>0</v>
      </c>
      <c r="AB147" s="272">
        <v>-418.39988</v>
      </c>
      <c r="AD147" s="272">
        <v>6954.9330200000004</v>
      </c>
      <c r="AE147" s="157">
        <v>582.93813</v>
      </c>
      <c r="AF147" s="184">
        <v>-11.61111</v>
      </c>
      <c r="AG147" s="272">
        <v>-2464.9013</v>
      </c>
      <c r="AH147" s="272">
        <v>9</v>
      </c>
      <c r="AI147" s="184">
        <v>39.851109999999998</v>
      </c>
      <c r="AJ147" s="272">
        <v>706.33292000000006</v>
      </c>
      <c r="AL147" s="272">
        <v>8821.7039999999997</v>
      </c>
      <c r="AM147" s="184">
        <v>-24.310299999999998</v>
      </c>
      <c r="AN147" s="272">
        <v>1135.4480000000001</v>
      </c>
      <c r="AO147" s="343">
        <v>1703</v>
      </c>
      <c r="AP147" s="332">
        <v>8.9</v>
      </c>
      <c r="AQ147" s="448"/>
      <c r="AS147" s="455">
        <v>2854.9385000000002</v>
      </c>
      <c r="AT147" s="272">
        <v>7527.0760700000001</v>
      </c>
      <c r="AU147" s="450"/>
      <c r="AV147" s="334">
        <v>2517.48855</v>
      </c>
      <c r="AW147" s="334">
        <v>466.96057999999999</v>
      </c>
      <c r="AX147" s="334">
        <v>570.92507999999998</v>
      </c>
      <c r="AY147" s="334">
        <v>3555.3742099999999</v>
      </c>
      <c r="AZ147" s="334">
        <v>1893.528</v>
      </c>
      <c r="BA147" s="272">
        <v>26.487689999999997</v>
      </c>
      <c r="BB147" s="333">
        <v>352.09815000000003</v>
      </c>
      <c r="BC147" s="272">
        <v>40.801300000000005</v>
      </c>
      <c r="BD147" s="272">
        <v>187.79670000000002</v>
      </c>
      <c r="BE147" s="334">
        <v>304.15878000000004</v>
      </c>
      <c r="BG147" s="331">
        <v>1107.04846</v>
      </c>
      <c r="BH147" s="331">
        <v>0</v>
      </c>
      <c r="BI147" s="331">
        <v>0</v>
      </c>
      <c r="BJ147" s="334">
        <v>-802.88968</v>
      </c>
      <c r="BK147" s="331">
        <v>0</v>
      </c>
      <c r="BL147" s="331">
        <v>0</v>
      </c>
      <c r="BM147" s="331">
        <v>0</v>
      </c>
      <c r="BN147" s="334">
        <v>-802.88968</v>
      </c>
      <c r="BP147" s="334">
        <v>6152.0433400000002</v>
      </c>
      <c r="BQ147" s="311">
        <v>304.15878000000004</v>
      </c>
      <c r="BR147" s="272">
        <v>0</v>
      </c>
      <c r="BS147" s="461">
        <v>-221.31861999999998</v>
      </c>
      <c r="BT147" s="272">
        <v>21</v>
      </c>
      <c r="BU147" s="272">
        <v>0</v>
      </c>
      <c r="BV147" s="333">
        <v>1526.0665200000001</v>
      </c>
      <c r="BX147" s="272">
        <v>9259.0519999999997</v>
      </c>
      <c r="BY147" s="469">
        <v>20.62304</v>
      </c>
      <c r="BZ147" s="469">
        <v>437.34800000000001</v>
      </c>
      <c r="CA147" s="552"/>
      <c r="CB147" s="335">
        <v>9.5</v>
      </c>
      <c r="CC147" s="471">
        <f t="shared" si="2"/>
        <v>9.5</v>
      </c>
      <c r="CD147" s="558"/>
      <c r="CE147" s="272"/>
      <c r="CF147" s="262"/>
      <c r="CI147" s="158">
        <v>0</v>
      </c>
      <c r="CJ147" s="331">
        <v>1977.366042057201</v>
      </c>
      <c r="CK147" s="331">
        <v>1937.398877108149</v>
      </c>
      <c r="CL147" s="331">
        <v>1776.0250208016878</v>
      </c>
      <c r="CM147" s="472">
        <v>1935.0293264091479</v>
      </c>
      <c r="CN147" s="472">
        <v>1983.49810628465</v>
      </c>
      <c r="CO147" s="480">
        <v>-479.37099999999998</v>
      </c>
      <c r="CP147" s="557"/>
      <c r="CQ147" s="474">
        <v>0</v>
      </c>
      <c r="CR147" s="474">
        <v>0</v>
      </c>
    </row>
    <row r="148" spans="1:96" x14ac:dyDescent="0.2">
      <c r="A148" s="154">
        <v>491</v>
      </c>
      <c r="B148" s="156" t="s">
        <v>178</v>
      </c>
      <c r="C148" s="325">
        <v>51919</v>
      </c>
      <c r="D148" s="270">
        <v>9.36</v>
      </c>
      <c r="E148" s="185"/>
      <c r="G148" s="272">
        <v>53563.37629</v>
      </c>
      <c r="H148" s="272">
        <v>178450.30653</v>
      </c>
      <c r="I148" s="272"/>
      <c r="J148" s="272">
        <v>109719.01064000001</v>
      </c>
      <c r="K148" s="272">
        <v>14575.81345</v>
      </c>
      <c r="L148" s="272">
        <v>21898.910159999999</v>
      </c>
      <c r="M148" s="272">
        <v>146193.73425000001</v>
      </c>
      <c r="N148" s="272">
        <v>11130.471</v>
      </c>
      <c r="O148" s="272">
        <v>1886.43823</v>
      </c>
      <c r="P148" s="272">
        <v>6845.4999000000007</v>
      </c>
      <c r="Q148" s="272">
        <v>9861.9966300000015</v>
      </c>
      <c r="R148" s="272">
        <v>119.23969</v>
      </c>
      <c r="S148" s="272">
        <v>37937.516170000003</v>
      </c>
      <c r="U148" s="272">
        <v>23443.94283</v>
      </c>
      <c r="V148" s="272">
        <v>4302.9268400000001</v>
      </c>
      <c r="W148" s="272">
        <v>0</v>
      </c>
      <c r="X148" s="272">
        <v>18796.500179999999</v>
      </c>
      <c r="Y148" s="272">
        <v>-934.06753000000003</v>
      </c>
      <c r="Z148" s="272">
        <v>0</v>
      </c>
      <c r="AA148" s="272">
        <v>0</v>
      </c>
      <c r="AB148" s="272">
        <v>19730.567709999999</v>
      </c>
      <c r="AD148" s="272">
        <v>-21056.919670000007</v>
      </c>
      <c r="AE148" s="157">
        <v>29552.75604</v>
      </c>
      <c r="AF148" s="184">
        <v>-12687.686970000001</v>
      </c>
      <c r="AG148" s="272">
        <v>-25773.106</v>
      </c>
      <c r="AH148" s="272">
        <v>637.55494999999996</v>
      </c>
      <c r="AI148" s="184">
        <v>2074.2178400000003</v>
      </c>
      <c r="AJ148" s="272">
        <v>9289.6721899999993</v>
      </c>
      <c r="AL148" s="272">
        <v>315042.68810999999</v>
      </c>
      <c r="AM148" s="184">
        <v>-2674.3030400000002</v>
      </c>
      <c r="AN148" s="272">
        <v>-5508.8883900000001</v>
      </c>
      <c r="AO148" s="343">
        <v>51890</v>
      </c>
      <c r="AP148" s="332">
        <v>9.3999999999999986</v>
      </c>
      <c r="AQ148" s="448"/>
      <c r="AS148" s="455">
        <v>55936.75819</v>
      </c>
      <c r="AT148" s="272">
        <v>178843.95910000001</v>
      </c>
      <c r="AU148" s="450"/>
      <c r="AV148" s="334">
        <v>103399.90182</v>
      </c>
      <c r="AW148" s="334">
        <v>13201.89885</v>
      </c>
      <c r="AX148" s="334">
        <v>23278.18577</v>
      </c>
      <c r="AY148" s="334">
        <v>139879.98644000001</v>
      </c>
      <c r="AZ148" s="334">
        <v>6529.2870000000003</v>
      </c>
      <c r="BA148" s="272">
        <v>3052.9483300000002</v>
      </c>
      <c r="BB148" s="333">
        <v>5081.22354</v>
      </c>
      <c r="BC148" s="272">
        <v>4062.56349</v>
      </c>
      <c r="BD148" s="272">
        <v>542.63657999999998</v>
      </c>
      <c r="BE148" s="334">
        <v>25473.191429999999</v>
      </c>
      <c r="BG148" s="331">
        <v>23126.031589999999</v>
      </c>
      <c r="BH148" s="331">
        <v>156066.64582000001</v>
      </c>
      <c r="BI148" s="331">
        <v>0</v>
      </c>
      <c r="BJ148" s="334">
        <v>158413.80565999998</v>
      </c>
      <c r="BK148" s="334">
        <v>-162.72826999999998</v>
      </c>
      <c r="BL148" s="331">
        <v>27000</v>
      </c>
      <c r="BM148" s="331">
        <v>0</v>
      </c>
      <c r="BN148" s="334">
        <v>131576.53393000001</v>
      </c>
      <c r="BP148" s="334">
        <v>110519.61426</v>
      </c>
      <c r="BQ148" s="311">
        <v>52208.303659999998</v>
      </c>
      <c r="BR148" s="272">
        <v>-129331.53359000001</v>
      </c>
      <c r="BS148" s="461">
        <v>-17666.40855</v>
      </c>
      <c r="BT148" s="272">
        <v>547.85563000000002</v>
      </c>
      <c r="BU148" s="272">
        <v>134713.88962999999</v>
      </c>
      <c r="BV148" s="333">
        <v>94136.411139999997</v>
      </c>
      <c r="BX148" s="272">
        <v>217227.50285000002</v>
      </c>
      <c r="BY148" s="469">
        <v>20975.041370000003</v>
      </c>
      <c r="BZ148" s="469">
        <v>-97815.185259999998</v>
      </c>
      <c r="CA148" s="552"/>
      <c r="CB148" s="335">
        <v>9.4</v>
      </c>
      <c r="CC148" s="471">
        <f t="shared" si="2"/>
        <v>9.4</v>
      </c>
      <c r="CD148" s="558"/>
      <c r="CE148" s="272"/>
      <c r="CF148" s="262"/>
      <c r="CI148" s="158">
        <v>0</v>
      </c>
      <c r="CJ148" s="331">
        <v>14393.988222559765</v>
      </c>
      <c r="CK148" s="331">
        <v>14950.027875471042</v>
      </c>
      <c r="CL148" s="331">
        <v>17101.48839891731</v>
      </c>
      <c r="CM148" s="472">
        <v>20388.833612127881</v>
      </c>
      <c r="CN148" s="472">
        <v>21208.380162654674</v>
      </c>
      <c r="CO148" s="480">
        <v>3321.12</v>
      </c>
      <c r="CP148" s="557"/>
      <c r="CQ148" s="474">
        <v>716.54588999999999</v>
      </c>
      <c r="CR148" s="474">
        <v>479.46719999999999</v>
      </c>
    </row>
    <row r="149" spans="1:96" x14ac:dyDescent="0.2">
      <c r="A149" s="154">
        <v>494</v>
      </c>
      <c r="B149" s="156" t="s">
        <v>179</v>
      </c>
      <c r="C149" s="325">
        <v>8827</v>
      </c>
      <c r="D149" s="270">
        <v>9.36</v>
      </c>
      <c r="E149" s="185"/>
      <c r="G149" s="272">
        <v>22940.425640000001</v>
      </c>
      <c r="H149" s="272">
        <v>48854.48055</v>
      </c>
      <c r="I149" s="272"/>
      <c r="J149" s="272">
        <v>15898.143099999999</v>
      </c>
      <c r="K149" s="272">
        <v>981.04541000000006</v>
      </c>
      <c r="L149" s="272">
        <v>4386.0585700000001</v>
      </c>
      <c r="M149" s="272">
        <v>21265.247079999997</v>
      </c>
      <c r="N149" s="272">
        <v>11831.377</v>
      </c>
      <c r="O149" s="272">
        <v>114.90402</v>
      </c>
      <c r="P149" s="272">
        <v>623.25977</v>
      </c>
      <c r="Q149" s="272">
        <v>22.774279999999997</v>
      </c>
      <c r="R149" s="272">
        <v>3.9533400000000003</v>
      </c>
      <c r="S149" s="272">
        <v>6811.5366699999995</v>
      </c>
      <c r="U149" s="272">
        <v>3987.4988699999999</v>
      </c>
      <c r="V149" s="272">
        <v>0</v>
      </c>
      <c r="W149" s="272">
        <v>0</v>
      </c>
      <c r="X149" s="272">
        <v>2824.0377999999996</v>
      </c>
      <c r="Y149" s="272">
        <v>-21.516419999999997</v>
      </c>
      <c r="Z149" s="272">
        <v>0</v>
      </c>
      <c r="AA149" s="272">
        <v>0</v>
      </c>
      <c r="AB149" s="272">
        <v>2845.55422</v>
      </c>
      <c r="AD149" s="272">
        <v>1996.34168</v>
      </c>
      <c r="AE149" s="157">
        <v>6675.7769699999999</v>
      </c>
      <c r="AF149" s="184">
        <v>-135.75970000000001</v>
      </c>
      <c r="AG149" s="272">
        <v>-5913.4119299999993</v>
      </c>
      <c r="AH149" s="272">
        <v>494.67500000000001</v>
      </c>
      <c r="AI149" s="184">
        <v>141.82160999999999</v>
      </c>
      <c r="AJ149" s="272">
        <v>3319.2391499999999</v>
      </c>
      <c r="AL149" s="272">
        <v>52917.49</v>
      </c>
      <c r="AM149" s="184">
        <v>3.3</v>
      </c>
      <c r="AN149" s="272">
        <v>-224.20948999999999</v>
      </c>
      <c r="AO149" s="343">
        <v>8749</v>
      </c>
      <c r="AP149" s="332">
        <v>9.4</v>
      </c>
      <c r="AQ149" s="448"/>
      <c r="AS149" s="455">
        <v>23767.882399999999</v>
      </c>
      <c r="AT149" s="272">
        <v>49172.414130000005</v>
      </c>
      <c r="AU149" s="450"/>
      <c r="AV149" s="334">
        <v>15791.64739</v>
      </c>
      <c r="AW149" s="334">
        <v>747.30290000000002</v>
      </c>
      <c r="AX149" s="334">
        <v>4551.7976600000002</v>
      </c>
      <c r="AY149" s="334">
        <v>21090.747950000001</v>
      </c>
      <c r="AZ149" s="334">
        <v>10102.523999999999</v>
      </c>
      <c r="BA149" s="272">
        <v>111.47264999999999</v>
      </c>
      <c r="BB149" s="333">
        <v>769.61663999999996</v>
      </c>
      <c r="BC149" s="272">
        <v>52.172029999999999</v>
      </c>
      <c r="BD149" s="272">
        <v>1.27027</v>
      </c>
      <c r="BE149" s="334">
        <v>5316.2712899999997</v>
      </c>
      <c r="BG149" s="331">
        <v>4231.2054900000003</v>
      </c>
      <c r="BH149" s="331">
        <v>0</v>
      </c>
      <c r="BI149" s="331">
        <v>0</v>
      </c>
      <c r="BJ149" s="334">
        <v>1085.0658000000001</v>
      </c>
      <c r="BK149" s="334">
        <v>-19.83952</v>
      </c>
      <c r="BL149" s="334">
        <v>0</v>
      </c>
      <c r="BM149" s="331">
        <v>0</v>
      </c>
      <c r="BN149" s="334">
        <v>1104.9053200000001</v>
      </c>
      <c r="BP149" s="334">
        <v>3101.2469999999998</v>
      </c>
      <c r="BQ149" s="311">
        <v>5411.8867699999992</v>
      </c>
      <c r="BR149" s="272">
        <v>95.615479999999991</v>
      </c>
      <c r="BS149" s="461">
        <v>-4226.8823200000006</v>
      </c>
      <c r="BT149" s="272">
        <v>0</v>
      </c>
      <c r="BU149" s="272">
        <v>386.42655999999999</v>
      </c>
      <c r="BV149" s="333">
        <v>2792.47282</v>
      </c>
      <c r="BX149" s="272">
        <v>50700.593999999997</v>
      </c>
      <c r="BY149" s="469">
        <v>3.3</v>
      </c>
      <c r="BZ149" s="469">
        <v>-2216.8960000000002</v>
      </c>
      <c r="CA149" s="552"/>
      <c r="CB149" s="335">
        <v>9.4</v>
      </c>
      <c r="CC149" s="471">
        <f t="shared" si="2"/>
        <v>9.4</v>
      </c>
      <c r="CD149" s="558"/>
      <c r="CE149" s="272"/>
      <c r="CF149" s="262"/>
      <c r="CI149" s="158">
        <v>0</v>
      </c>
      <c r="CJ149" s="331">
        <v>10625.921847037022</v>
      </c>
      <c r="CK149" s="331">
        <v>10880.309169281751</v>
      </c>
      <c r="CL149" s="331">
        <v>11410.674536034046</v>
      </c>
      <c r="CM149" s="472">
        <v>12187.998983692092</v>
      </c>
      <c r="CN149" s="472">
        <v>12223.36959506052</v>
      </c>
      <c r="CO149" s="480">
        <v>-194.822</v>
      </c>
      <c r="CP149" s="557"/>
      <c r="CQ149" s="474">
        <v>118.50230999999999</v>
      </c>
      <c r="CR149" s="474">
        <v>134.77329999999998</v>
      </c>
    </row>
    <row r="150" spans="1:96" x14ac:dyDescent="0.2">
      <c r="A150" s="154">
        <v>495</v>
      </c>
      <c r="B150" s="156" t="s">
        <v>180</v>
      </c>
      <c r="C150" s="325">
        <v>1430</v>
      </c>
      <c r="D150" s="270">
        <v>9.36</v>
      </c>
      <c r="E150" s="185"/>
      <c r="G150" s="272">
        <v>1641.19813</v>
      </c>
      <c r="H150" s="272">
        <v>6232.0442899999998</v>
      </c>
      <c r="I150" s="272"/>
      <c r="J150" s="272">
        <v>2211.1912900000002</v>
      </c>
      <c r="K150" s="272">
        <v>965.88995999999997</v>
      </c>
      <c r="L150" s="272">
        <v>514.08645000000001</v>
      </c>
      <c r="M150" s="272">
        <v>3691.1677</v>
      </c>
      <c r="N150" s="272">
        <v>914.44299999999998</v>
      </c>
      <c r="O150" s="272">
        <v>0.94138999999999995</v>
      </c>
      <c r="P150" s="272">
        <v>27.007240000000003</v>
      </c>
      <c r="Q150" s="272">
        <v>14.735329999999999</v>
      </c>
      <c r="R150" s="272">
        <v>20.349330000000002</v>
      </c>
      <c r="S150" s="272">
        <v>-16.915310000000002</v>
      </c>
      <c r="U150" s="272">
        <v>392.78717</v>
      </c>
      <c r="V150" s="272">
        <v>0</v>
      </c>
      <c r="W150" s="272">
        <v>0</v>
      </c>
      <c r="X150" s="272">
        <v>-409.70247999999998</v>
      </c>
      <c r="Y150" s="272">
        <v>0</v>
      </c>
      <c r="Z150" s="272">
        <v>0</v>
      </c>
      <c r="AA150" s="272">
        <v>0</v>
      </c>
      <c r="AB150" s="272">
        <v>-409.70247999999998</v>
      </c>
      <c r="AD150" s="272">
        <v>-518.76985000000002</v>
      </c>
      <c r="AE150" s="157">
        <v>-465.81721999999996</v>
      </c>
      <c r="AF150" s="184">
        <v>-448.90190999999999</v>
      </c>
      <c r="AG150" s="272">
        <v>-366.93594000000002</v>
      </c>
      <c r="AH150" s="272">
        <v>35.514189999999999</v>
      </c>
      <c r="AI150" s="184">
        <v>132.74126999999999</v>
      </c>
      <c r="AJ150" s="272">
        <v>194.02689000000001</v>
      </c>
      <c r="AL150" s="272">
        <v>900</v>
      </c>
      <c r="AM150" s="184">
        <v>-6.06243</v>
      </c>
      <c r="AN150" s="272">
        <v>900</v>
      </c>
      <c r="AO150" s="343">
        <v>1393</v>
      </c>
      <c r="AP150" s="332">
        <v>9.8000000000000007</v>
      </c>
      <c r="AQ150" s="448"/>
      <c r="AS150" s="455">
        <v>1352.6918500000002</v>
      </c>
      <c r="AT150" s="272">
        <v>5512.1067000000003</v>
      </c>
      <c r="AU150" s="450"/>
      <c r="AV150" s="334">
        <v>2220.0791099999997</v>
      </c>
      <c r="AW150" s="334">
        <v>915.77886000000001</v>
      </c>
      <c r="AX150" s="334">
        <v>560.96336999999994</v>
      </c>
      <c r="AY150" s="334">
        <v>3696.82134</v>
      </c>
      <c r="AZ150" s="334">
        <v>1016.04</v>
      </c>
      <c r="BA150" s="272">
        <v>0.89715999999999996</v>
      </c>
      <c r="BB150" s="333">
        <v>38.217019999999998</v>
      </c>
      <c r="BC150" s="272">
        <v>10.382459999999998</v>
      </c>
      <c r="BD150" s="272">
        <v>6.2406899999999998</v>
      </c>
      <c r="BE150" s="334">
        <v>520.26840000000004</v>
      </c>
      <c r="BG150" s="331">
        <v>386.86153000000002</v>
      </c>
      <c r="BH150" s="331">
        <v>0</v>
      </c>
      <c r="BI150" s="331">
        <v>0</v>
      </c>
      <c r="BJ150" s="334">
        <v>133.40687</v>
      </c>
      <c r="BK150" s="331">
        <v>0</v>
      </c>
      <c r="BL150" s="331">
        <v>0</v>
      </c>
      <c r="BM150" s="331">
        <v>0</v>
      </c>
      <c r="BN150" s="334">
        <v>133.40687</v>
      </c>
      <c r="BP150" s="334">
        <v>-385.36297999999999</v>
      </c>
      <c r="BQ150" s="311">
        <v>520.26840000000004</v>
      </c>
      <c r="BR150" s="272">
        <v>0</v>
      </c>
      <c r="BS150" s="461">
        <v>-254.57820999999998</v>
      </c>
      <c r="BT150" s="272">
        <v>39.993000000000002</v>
      </c>
      <c r="BU150" s="272">
        <v>0</v>
      </c>
      <c r="BV150" s="333">
        <v>539.23501999999996</v>
      </c>
      <c r="BX150" s="272">
        <v>990</v>
      </c>
      <c r="BY150" s="469">
        <v>6.8286099999999994</v>
      </c>
      <c r="BZ150" s="469">
        <v>90</v>
      </c>
      <c r="CA150" s="552"/>
      <c r="CB150" s="335">
        <v>9.8000000000000007</v>
      </c>
      <c r="CC150" s="471">
        <f t="shared" si="2"/>
        <v>9.8000000000000007</v>
      </c>
      <c r="CD150" s="558"/>
      <c r="CE150" s="272"/>
      <c r="CF150" s="262"/>
      <c r="CG150" s="260"/>
      <c r="CI150" s="158">
        <v>280</v>
      </c>
      <c r="CJ150" s="331">
        <v>1146.2288182113962</v>
      </c>
      <c r="CK150" s="331">
        <v>793.59880914315329</v>
      </c>
      <c r="CL150" s="331">
        <v>938.39349688226696</v>
      </c>
      <c r="CM150" s="472">
        <v>1043.0837349449152</v>
      </c>
      <c r="CN150" s="472">
        <v>992.29268092897576</v>
      </c>
      <c r="CO150" s="480">
        <v>-323.27300000000002</v>
      </c>
      <c r="CP150" s="557"/>
      <c r="CQ150" s="474">
        <v>0</v>
      </c>
      <c r="CR150" s="474">
        <v>0</v>
      </c>
    </row>
    <row r="151" spans="1:96" x14ac:dyDescent="0.2">
      <c r="A151" s="154">
        <v>498</v>
      </c>
      <c r="B151" s="156" t="s">
        <v>181</v>
      </c>
      <c r="C151" s="325">
        <v>2325</v>
      </c>
      <c r="D151" s="270">
        <v>8.86</v>
      </c>
      <c r="E151" s="185"/>
      <c r="G151" s="272">
        <v>4002.6171300000001</v>
      </c>
      <c r="H151" s="272">
        <v>12277.623869999999</v>
      </c>
      <c r="I151" s="272"/>
      <c r="J151" s="272">
        <v>4260.3010700000004</v>
      </c>
      <c r="K151" s="272">
        <v>1008.50836</v>
      </c>
      <c r="L151" s="272">
        <v>1236.88903</v>
      </c>
      <c r="M151" s="272">
        <v>6505.6984599999996</v>
      </c>
      <c r="N151" s="272">
        <v>3800.7559999999999</v>
      </c>
      <c r="O151" s="272">
        <v>5.4041600000000001</v>
      </c>
      <c r="P151" s="272">
        <v>118.34034</v>
      </c>
      <c r="Q151" s="272">
        <v>8.3298299999999994</v>
      </c>
      <c r="R151" s="272">
        <v>1.8547100000000001</v>
      </c>
      <c r="S151" s="272">
        <v>1963.2145800000001</v>
      </c>
      <c r="U151" s="272">
        <v>900.15200000000004</v>
      </c>
      <c r="V151" s="272">
        <v>0</v>
      </c>
      <c r="W151" s="272">
        <v>0</v>
      </c>
      <c r="X151" s="272">
        <v>1063.06258</v>
      </c>
      <c r="Y151" s="272">
        <v>-29.54787</v>
      </c>
      <c r="Z151" s="272">
        <v>500</v>
      </c>
      <c r="AA151" s="272">
        <v>0</v>
      </c>
      <c r="AB151" s="272">
        <v>592.6104499999999</v>
      </c>
      <c r="AD151" s="272">
        <v>4124.3167400000002</v>
      </c>
      <c r="AE151" s="157">
        <v>1901.15058</v>
      </c>
      <c r="AF151" s="184">
        <v>-62.064</v>
      </c>
      <c r="AG151" s="272">
        <v>-635.56037000000003</v>
      </c>
      <c r="AH151" s="272">
        <v>-10.55673</v>
      </c>
      <c r="AI151" s="184">
        <v>66.539289999999994</v>
      </c>
      <c r="AJ151" s="272">
        <v>328.70359000000002</v>
      </c>
      <c r="AL151" s="272">
        <v>3937.5</v>
      </c>
      <c r="AM151" s="184">
        <v>0</v>
      </c>
      <c r="AN151" s="272">
        <v>-1107.5</v>
      </c>
      <c r="AO151" s="343">
        <v>2313</v>
      </c>
      <c r="AP151" s="332">
        <v>8.9</v>
      </c>
      <c r="AQ151" s="448"/>
      <c r="AS151" s="455">
        <v>3693.4960000000001</v>
      </c>
      <c r="AT151" s="272">
        <v>12519.236510000001</v>
      </c>
      <c r="AU151" s="450"/>
      <c r="AV151" s="334">
        <v>4319.4765399999997</v>
      </c>
      <c r="AW151" s="334">
        <v>704.62427000000002</v>
      </c>
      <c r="AX151" s="334">
        <v>1137.60328</v>
      </c>
      <c r="AY151" s="334">
        <v>6161.7040900000002</v>
      </c>
      <c r="AZ151" s="334">
        <v>3675.9540000000002</v>
      </c>
      <c r="BA151" s="272">
        <v>5.7688900000000007</v>
      </c>
      <c r="BB151" s="333">
        <v>144.64893000000001</v>
      </c>
      <c r="BC151" s="272">
        <v>5.7331700000000003</v>
      </c>
      <c r="BD151" s="272">
        <v>2.21001</v>
      </c>
      <c r="BE151" s="334">
        <v>896.6379300000001</v>
      </c>
      <c r="BG151" s="331">
        <v>831.20093999999995</v>
      </c>
      <c r="BH151" s="331">
        <v>0</v>
      </c>
      <c r="BI151" s="334">
        <v>0</v>
      </c>
      <c r="BJ151" s="334">
        <v>65.436989999999994</v>
      </c>
      <c r="BK151" s="331">
        <v>-29.54787</v>
      </c>
      <c r="BL151" s="334">
        <v>0</v>
      </c>
      <c r="BM151" s="334">
        <v>0</v>
      </c>
      <c r="BN151" s="334">
        <v>94.984859999999998</v>
      </c>
      <c r="BP151" s="334">
        <v>4592.3215</v>
      </c>
      <c r="BQ151" s="311">
        <v>896.6379300000001</v>
      </c>
      <c r="BR151" s="272">
        <v>0</v>
      </c>
      <c r="BS151" s="461">
        <v>-1539.71495</v>
      </c>
      <c r="BT151" s="272">
        <v>16.2044</v>
      </c>
      <c r="BU151" s="272">
        <v>0.25263999999999998</v>
      </c>
      <c r="BV151" s="333">
        <v>282.60353999999995</v>
      </c>
      <c r="BX151" s="272">
        <v>3812.5</v>
      </c>
      <c r="BY151" s="469">
        <v>0</v>
      </c>
      <c r="BZ151" s="469">
        <v>-125</v>
      </c>
      <c r="CA151" s="552"/>
      <c r="CB151" s="335">
        <v>8.9</v>
      </c>
      <c r="CC151" s="471">
        <f t="shared" si="2"/>
        <v>8.9</v>
      </c>
      <c r="CD151" s="558"/>
      <c r="CE151" s="272"/>
      <c r="CF151" s="262"/>
      <c r="CI151" s="158">
        <v>0</v>
      </c>
      <c r="CJ151" s="331">
        <v>4462.6168822105092</v>
      </c>
      <c r="CK151" s="331">
        <v>4594.0654840547195</v>
      </c>
      <c r="CL151" s="331">
        <v>4333.843497984114</v>
      </c>
      <c r="CM151" s="472">
        <v>4471.0685660103809</v>
      </c>
      <c r="CN151" s="472">
        <v>4482.0305963969013</v>
      </c>
      <c r="CO151" s="480">
        <v>204.233</v>
      </c>
      <c r="CP151" s="557"/>
      <c r="CQ151" s="474">
        <v>38.227919999999997</v>
      </c>
      <c r="CR151" s="474">
        <v>20.07723</v>
      </c>
    </row>
    <row r="152" spans="1:96" x14ac:dyDescent="0.2">
      <c r="A152" s="154">
        <v>499</v>
      </c>
      <c r="B152" s="156" t="s">
        <v>182</v>
      </c>
      <c r="C152" s="325">
        <v>19763</v>
      </c>
      <c r="D152" s="270">
        <v>8.11</v>
      </c>
      <c r="E152" s="185"/>
      <c r="G152" s="272">
        <v>17990.321510000002</v>
      </c>
      <c r="H152" s="272">
        <v>76041.605859999996</v>
      </c>
      <c r="I152" s="272"/>
      <c r="J152" s="272">
        <v>39599.359770000003</v>
      </c>
      <c r="K152" s="272">
        <v>3219.9207999999999</v>
      </c>
      <c r="L152" s="272">
        <v>5730.0785300000007</v>
      </c>
      <c r="M152" s="272">
        <v>48549.359100000001</v>
      </c>
      <c r="N152" s="272">
        <v>24687.812000000002</v>
      </c>
      <c r="O152" s="272">
        <v>75.384789999999995</v>
      </c>
      <c r="P152" s="272">
        <v>1330.10268</v>
      </c>
      <c r="Q152" s="272">
        <v>89.552520000000001</v>
      </c>
      <c r="R152" s="272">
        <v>1.0500000000000001E-2</v>
      </c>
      <c r="S152" s="272">
        <v>14505.606330000001</v>
      </c>
      <c r="U152" s="272">
        <v>9570.3550599999999</v>
      </c>
      <c r="V152" s="272">
        <v>0</v>
      </c>
      <c r="W152" s="272">
        <v>0</v>
      </c>
      <c r="X152" s="272">
        <v>4935.2512699999997</v>
      </c>
      <c r="Y152" s="272">
        <v>0</v>
      </c>
      <c r="Z152" s="272">
        <v>1500</v>
      </c>
      <c r="AA152" s="272">
        <v>0</v>
      </c>
      <c r="AB152" s="272">
        <v>3435.2512700000002</v>
      </c>
      <c r="AD152" s="272">
        <v>16110.313040000001</v>
      </c>
      <c r="AE152" s="157">
        <v>14364.903390000001</v>
      </c>
      <c r="AF152" s="184">
        <v>-140.70294000000001</v>
      </c>
      <c r="AG152" s="272">
        <v>-19411.531190000002</v>
      </c>
      <c r="AH152" s="272">
        <v>652.29651000000001</v>
      </c>
      <c r="AI152" s="184">
        <v>153.66749999999999</v>
      </c>
      <c r="AJ152" s="272">
        <v>550.76343999999995</v>
      </c>
      <c r="AL152" s="272">
        <v>95431.434000000008</v>
      </c>
      <c r="AM152" s="184">
        <v>-2841.46396</v>
      </c>
      <c r="AN152" s="272">
        <v>7360.0020000000004</v>
      </c>
      <c r="AO152" s="343">
        <v>19738</v>
      </c>
      <c r="AP152" s="332">
        <v>8.4</v>
      </c>
      <c r="AQ152" s="448"/>
      <c r="AS152" s="455">
        <v>18879.243399999999</v>
      </c>
      <c r="AT152" s="272">
        <v>78639.905319999991</v>
      </c>
      <c r="AU152" s="450"/>
      <c r="AV152" s="334">
        <v>39129.941079999997</v>
      </c>
      <c r="AW152" s="334">
        <v>2601.2260899999997</v>
      </c>
      <c r="AX152" s="334">
        <v>6373.1357300000009</v>
      </c>
      <c r="AY152" s="334">
        <v>48104.302899999995</v>
      </c>
      <c r="AZ152" s="334">
        <v>21196.212</v>
      </c>
      <c r="BA152" s="272">
        <v>236.96847</v>
      </c>
      <c r="BB152" s="333">
        <v>2333.4027099999998</v>
      </c>
      <c r="BC152" s="272">
        <v>119.34983</v>
      </c>
      <c r="BD152" s="272">
        <v>5.2443400000000002</v>
      </c>
      <c r="BE152" s="334">
        <v>8009.8512300000002</v>
      </c>
      <c r="BG152" s="331">
        <v>9741.1829600000001</v>
      </c>
      <c r="BH152" s="334">
        <v>0</v>
      </c>
      <c r="BI152" s="334">
        <v>0</v>
      </c>
      <c r="BJ152" s="334">
        <v>-1731.3317299999999</v>
      </c>
      <c r="BK152" s="331">
        <v>0</v>
      </c>
      <c r="BL152" s="331">
        <v>0</v>
      </c>
      <c r="BM152" s="331">
        <v>0</v>
      </c>
      <c r="BN152" s="334">
        <v>-1731.3317299999999</v>
      </c>
      <c r="BP152" s="334">
        <v>14378.981309999999</v>
      </c>
      <c r="BQ152" s="311">
        <v>7672.8667000000005</v>
      </c>
      <c r="BR152" s="272">
        <v>-336.98453000000001</v>
      </c>
      <c r="BS152" s="461">
        <v>-21848.064999999999</v>
      </c>
      <c r="BT152" s="272">
        <v>460.50781000000001</v>
      </c>
      <c r="BU152" s="272">
        <v>476.01393999999999</v>
      </c>
      <c r="BV152" s="333">
        <v>930.44521999999995</v>
      </c>
      <c r="BX152" s="272">
        <v>111800.008</v>
      </c>
      <c r="BY152" s="469">
        <v>-1864</v>
      </c>
      <c r="BZ152" s="469">
        <v>16368.574000000001</v>
      </c>
      <c r="CA152" s="552"/>
      <c r="CB152" s="335">
        <v>8.9</v>
      </c>
      <c r="CC152" s="471">
        <f t="shared" si="2"/>
        <v>8.9</v>
      </c>
      <c r="CD152" s="558"/>
      <c r="CE152" s="272"/>
      <c r="CF152" s="262"/>
      <c r="CI152" s="158">
        <v>0</v>
      </c>
      <c r="CJ152" s="331">
        <v>22040.98313705462</v>
      </c>
      <c r="CK152" s="331">
        <v>22256.702352377582</v>
      </c>
      <c r="CL152" s="331">
        <v>21049.670452068058</v>
      </c>
      <c r="CM152" s="472">
        <v>22523.410488115391</v>
      </c>
      <c r="CN152" s="472">
        <v>22959.334048815777</v>
      </c>
      <c r="CO152" s="480">
        <v>-1054.078</v>
      </c>
      <c r="CP152" s="557"/>
      <c r="CQ152" s="474">
        <v>484.89545000000004</v>
      </c>
      <c r="CR152" s="474">
        <v>452.327</v>
      </c>
    </row>
    <row r="153" spans="1:96" x14ac:dyDescent="0.2">
      <c r="A153" s="154">
        <v>500</v>
      </c>
      <c r="B153" s="156" t="s">
        <v>183</v>
      </c>
      <c r="C153" s="325">
        <v>10551</v>
      </c>
      <c r="D153" s="270">
        <v>6.8600000000000012</v>
      </c>
      <c r="E153" s="185"/>
      <c r="G153" s="272">
        <v>6515.8768799999998</v>
      </c>
      <c r="H153" s="272">
        <v>36560.374979999993</v>
      </c>
      <c r="I153" s="272"/>
      <c r="J153" s="272">
        <v>18329.327710000001</v>
      </c>
      <c r="K153" s="272">
        <v>2739.32762</v>
      </c>
      <c r="L153" s="272">
        <v>2766.2692499999998</v>
      </c>
      <c r="M153" s="272">
        <v>23834.924579999999</v>
      </c>
      <c r="N153" s="272">
        <v>13071.66174</v>
      </c>
      <c r="O153" s="272">
        <v>15.235010000000001</v>
      </c>
      <c r="P153" s="272">
        <v>737.24023</v>
      </c>
      <c r="Q153" s="272">
        <v>112.22439999999999</v>
      </c>
      <c r="R153" s="272">
        <v>80.216070000000002</v>
      </c>
      <c r="S153" s="272">
        <v>6220.7442499999997</v>
      </c>
      <c r="U153" s="272">
        <v>4597.9837300000008</v>
      </c>
      <c r="V153" s="272">
        <v>0</v>
      </c>
      <c r="W153" s="272">
        <v>12.6</v>
      </c>
      <c r="X153" s="272">
        <v>1610.1605199999999</v>
      </c>
      <c r="Y153" s="272">
        <v>0</v>
      </c>
      <c r="Z153" s="272">
        <v>1600</v>
      </c>
      <c r="AA153" s="272">
        <v>0</v>
      </c>
      <c r="AB153" s="272">
        <v>10.16052</v>
      </c>
      <c r="AD153" s="272">
        <v>13615.570089999999</v>
      </c>
      <c r="AE153" s="157">
        <v>5929.3210399999998</v>
      </c>
      <c r="AF153" s="184">
        <v>-278.82321000000002</v>
      </c>
      <c r="AG153" s="272">
        <v>-17607.928039999999</v>
      </c>
      <c r="AH153" s="272">
        <v>726.94100000000003</v>
      </c>
      <c r="AI153" s="184">
        <v>1098</v>
      </c>
      <c r="AJ153" s="272">
        <v>2173.4605299999998</v>
      </c>
      <c r="AL153" s="272">
        <v>26591.66662</v>
      </c>
      <c r="AM153" s="184">
        <v>90.015910000000005</v>
      </c>
      <c r="AN153" s="272">
        <v>12287.179480000001</v>
      </c>
      <c r="AO153" s="343">
        <v>10614</v>
      </c>
      <c r="AP153" s="332">
        <v>6.9</v>
      </c>
      <c r="AQ153" s="448"/>
      <c r="AS153" s="455">
        <v>6176.5028400000001</v>
      </c>
      <c r="AT153" s="272">
        <v>36536.002950000002</v>
      </c>
      <c r="AU153" s="450"/>
      <c r="AV153" s="334">
        <v>17647.100429999999</v>
      </c>
      <c r="AW153" s="334">
        <v>2485.30197</v>
      </c>
      <c r="AX153" s="334">
        <v>2764.3861699999998</v>
      </c>
      <c r="AY153" s="334">
        <v>22896.788570000001</v>
      </c>
      <c r="AZ153" s="334">
        <v>12479.776</v>
      </c>
      <c r="BA153" s="272">
        <v>59.581410000000005</v>
      </c>
      <c r="BB153" s="333">
        <v>976.89787999999999</v>
      </c>
      <c r="BC153" s="272">
        <v>137.80624</v>
      </c>
      <c r="BD153" s="272">
        <v>316.83812</v>
      </c>
      <c r="BE153" s="334">
        <v>4113.0356000000002</v>
      </c>
      <c r="BG153" s="331">
        <v>4877.5339199999999</v>
      </c>
      <c r="BH153" s="331">
        <v>0</v>
      </c>
      <c r="BI153" s="334">
        <v>0</v>
      </c>
      <c r="BJ153" s="334">
        <v>-764.49831999999992</v>
      </c>
      <c r="BK153" s="334">
        <v>6676.8151200000002</v>
      </c>
      <c r="BL153" s="331">
        <v>-6700</v>
      </c>
      <c r="BM153" s="331">
        <v>0</v>
      </c>
      <c r="BN153" s="334">
        <v>-741.3134399999999</v>
      </c>
      <c r="BP153" s="334">
        <v>12874.256650000001</v>
      </c>
      <c r="BQ153" s="311">
        <v>3412.4970400000002</v>
      </c>
      <c r="BR153" s="272">
        <v>-700.53856000000007</v>
      </c>
      <c r="BS153" s="461">
        <v>-12954.758159999999</v>
      </c>
      <c r="BT153" s="272">
        <v>160</v>
      </c>
      <c r="BU153" s="272">
        <v>1081.625</v>
      </c>
      <c r="BV153" s="333">
        <v>1883.7608199999997</v>
      </c>
      <c r="BX153" s="272">
        <v>37425.64097</v>
      </c>
      <c r="BY153" s="469">
        <v>0</v>
      </c>
      <c r="BZ153" s="469">
        <v>10833.97435</v>
      </c>
      <c r="CA153" s="552"/>
      <c r="CB153" s="335">
        <v>6.9</v>
      </c>
      <c r="CC153" s="471">
        <f t="shared" si="2"/>
        <v>6.9</v>
      </c>
      <c r="CD153" s="558"/>
      <c r="CE153" s="272"/>
      <c r="CF153" s="262"/>
      <c r="CI153" s="158">
        <v>0</v>
      </c>
      <c r="CJ153" s="331">
        <v>12883.625334973689</v>
      </c>
      <c r="CK153" s="331">
        <v>12697.519163577721</v>
      </c>
      <c r="CL153" s="331">
        <v>13337.400015728777</v>
      </c>
      <c r="CM153" s="472">
        <v>14146.536078462708</v>
      </c>
      <c r="CN153" s="472">
        <v>14171.647357196629</v>
      </c>
      <c r="CO153" s="480">
        <v>-629.54200000000003</v>
      </c>
      <c r="CP153" s="557"/>
      <c r="CQ153" s="474">
        <v>48.652920000000002</v>
      </c>
      <c r="CR153" s="474">
        <v>192.31949</v>
      </c>
    </row>
    <row r="154" spans="1:96" x14ac:dyDescent="0.2">
      <c r="A154" s="154">
        <v>503</v>
      </c>
      <c r="B154" s="156" t="s">
        <v>184</v>
      </c>
      <c r="C154" s="325">
        <v>7515</v>
      </c>
      <c r="D154" s="270">
        <v>8.61</v>
      </c>
      <c r="E154" s="185"/>
      <c r="G154" s="272">
        <v>4217.80926</v>
      </c>
      <c r="H154" s="272">
        <v>22860.07085</v>
      </c>
      <c r="I154" s="272"/>
      <c r="J154" s="272">
        <v>13935.41469</v>
      </c>
      <c r="K154" s="272">
        <v>1186.9267399999999</v>
      </c>
      <c r="L154" s="272">
        <v>1953.0187700000001</v>
      </c>
      <c r="M154" s="272">
        <v>17075.360199999999</v>
      </c>
      <c r="N154" s="272">
        <v>4102.3940000000002</v>
      </c>
      <c r="O154" s="272">
        <v>70.847200000000001</v>
      </c>
      <c r="P154" s="272">
        <v>1092.2188200000001</v>
      </c>
      <c r="Q154" s="272">
        <v>40.37133</v>
      </c>
      <c r="R154" s="272">
        <v>4.8602600000000002</v>
      </c>
      <c r="S154" s="272">
        <v>1549.6320600000001</v>
      </c>
      <c r="U154" s="272">
        <v>2054.3086499999999</v>
      </c>
      <c r="V154" s="272">
        <v>0</v>
      </c>
      <c r="W154" s="272">
        <v>0</v>
      </c>
      <c r="X154" s="272">
        <v>-504.67659000000003</v>
      </c>
      <c r="Y154" s="272">
        <v>-3.33</v>
      </c>
      <c r="Z154" s="272">
        <v>0</v>
      </c>
      <c r="AA154" s="272">
        <v>-0.15465999999999999</v>
      </c>
      <c r="AB154" s="272">
        <v>-501.19193000000001</v>
      </c>
      <c r="AD154" s="272">
        <v>4287.4034000000001</v>
      </c>
      <c r="AE154" s="157">
        <v>1603.5828600000002</v>
      </c>
      <c r="AF154" s="184">
        <v>53.950800000000001</v>
      </c>
      <c r="AG154" s="272">
        <v>-4140.9552899999999</v>
      </c>
      <c r="AH154" s="272">
        <v>0</v>
      </c>
      <c r="AI154" s="184">
        <v>1100.1608799999999</v>
      </c>
      <c r="AJ154" s="272">
        <v>1458.1574900000001</v>
      </c>
      <c r="AL154" s="272">
        <v>42189.110099999998</v>
      </c>
      <c r="AM154" s="184">
        <v>0</v>
      </c>
      <c r="AN154" s="272">
        <v>-760.89704000000006</v>
      </c>
      <c r="AO154" s="343">
        <v>7477</v>
      </c>
      <c r="AP154" s="332">
        <v>9.1</v>
      </c>
      <c r="AQ154" s="448"/>
      <c r="AS154" s="455">
        <v>3886.712</v>
      </c>
      <c r="AT154" s="272">
        <v>22894.860370000002</v>
      </c>
      <c r="AU154" s="450"/>
      <c r="AV154" s="334">
        <v>14443.507119999998</v>
      </c>
      <c r="AW154" s="334">
        <v>1033.3303800000001</v>
      </c>
      <c r="AX154" s="334">
        <v>2094.6229399999997</v>
      </c>
      <c r="AY154" s="334">
        <v>17571.460440000003</v>
      </c>
      <c r="AZ154" s="334">
        <v>4281.0219999999999</v>
      </c>
      <c r="BA154" s="272">
        <v>100.88839</v>
      </c>
      <c r="BB154" s="333">
        <v>1298.7399599999999</v>
      </c>
      <c r="BC154" s="272">
        <v>48.20476</v>
      </c>
      <c r="BD154" s="272">
        <v>7.0421300000000002</v>
      </c>
      <c r="BE154" s="334">
        <v>1687.6451299999999</v>
      </c>
      <c r="BG154" s="331">
        <v>2556.0526400000003</v>
      </c>
      <c r="BH154" s="331">
        <v>0</v>
      </c>
      <c r="BI154" s="331">
        <v>0</v>
      </c>
      <c r="BJ154" s="334">
        <v>-868.40751</v>
      </c>
      <c r="BK154" s="331">
        <v>-82.251630000000006</v>
      </c>
      <c r="BL154" s="331">
        <v>0</v>
      </c>
      <c r="BM154" s="331">
        <v>1.0606900000000001</v>
      </c>
      <c r="BN154" s="334">
        <v>-787.21656999999993</v>
      </c>
      <c r="BP154" s="334">
        <v>3500.1868300000006</v>
      </c>
      <c r="BQ154" s="311">
        <v>1665.8423700000001</v>
      </c>
      <c r="BR154" s="272">
        <v>-21.802759999999999</v>
      </c>
      <c r="BS154" s="461">
        <v>-2911.2163500000001</v>
      </c>
      <c r="BT154" s="272">
        <v>41.652999999999999</v>
      </c>
      <c r="BU154" s="272">
        <v>25.90175</v>
      </c>
      <c r="BV154" s="333">
        <v>1865.79838</v>
      </c>
      <c r="BX154" s="272">
        <v>44400.640949999994</v>
      </c>
      <c r="BY154" s="469">
        <v>0</v>
      </c>
      <c r="BZ154" s="469">
        <v>2211.5308500000001</v>
      </c>
      <c r="CA154" s="552"/>
      <c r="CB154" s="335">
        <v>9.1</v>
      </c>
      <c r="CC154" s="471">
        <f t="shared" si="2"/>
        <v>9.1</v>
      </c>
      <c r="CD154" s="558"/>
      <c r="CE154" s="272"/>
      <c r="CF154" s="262"/>
      <c r="CI154" s="158">
        <v>0</v>
      </c>
      <c r="CJ154" s="331">
        <v>4505.9863142752702</v>
      </c>
      <c r="CK154" s="331">
        <v>4401.2431274060127</v>
      </c>
      <c r="CL154" s="331">
        <v>4623.1908348953139</v>
      </c>
      <c r="CM154" s="472">
        <v>5182.8005984086913</v>
      </c>
      <c r="CN154" s="472">
        <v>5382.0180218055502</v>
      </c>
      <c r="CO154" s="480">
        <v>-197.44399999999999</v>
      </c>
      <c r="CP154" s="557"/>
      <c r="CQ154" s="474">
        <v>0</v>
      </c>
      <c r="CR154" s="474">
        <v>0</v>
      </c>
    </row>
    <row r="155" spans="1:96" x14ac:dyDescent="0.2">
      <c r="A155" s="154">
        <v>504</v>
      </c>
      <c r="B155" s="156" t="s">
        <v>185</v>
      </c>
      <c r="C155" s="325">
        <v>1715</v>
      </c>
      <c r="D155" s="270">
        <v>8.86</v>
      </c>
      <c r="E155" s="185"/>
      <c r="G155" s="272">
        <v>2338.9619300000004</v>
      </c>
      <c r="H155" s="272">
        <v>7052.2885700000006</v>
      </c>
      <c r="I155" s="272"/>
      <c r="J155" s="272">
        <v>3145.07566</v>
      </c>
      <c r="K155" s="272">
        <v>416.63265999999999</v>
      </c>
      <c r="L155" s="272">
        <v>428.18146000000002</v>
      </c>
      <c r="M155" s="272">
        <v>3989.88978</v>
      </c>
      <c r="N155" s="272">
        <v>1106.739</v>
      </c>
      <c r="O155" s="272">
        <v>100.37617</v>
      </c>
      <c r="P155" s="272">
        <v>277.23437000000001</v>
      </c>
      <c r="Q155" s="272">
        <v>115.80909</v>
      </c>
      <c r="R155" s="272">
        <v>1.0165599999999999</v>
      </c>
      <c r="S155" s="272">
        <v>321.23647</v>
      </c>
      <c r="U155" s="272">
        <v>817.75890000000004</v>
      </c>
      <c r="V155" s="272">
        <v>0</v>
      </c>
      <c r="W155" s="272">
        <v>0</v>
      </c>
      <c r="X155" s="272">
        <v>-496.52242999999999</v>
      </c>
      <c r="Y155" s="272">
        <v>0</v>
      </c>
      <c r="Z155" s="272">
        <v>-30</v>
      </c>
      <c r="AA155" s="272">
        <v>0</v>
      </c>
      <c r="AB155" s="272">
        <v>-466.52242999999999</v>
      </c>
      <c r="AD155" s="272">
        <v>1022.5248800000002</v>
      </c>
      <c r="AE155" s="157">
        <v>315.01517999999999</v>
      </c>
      <c r="AF155" s="184">
        <v>-6.2212899999999998</v>
      </c>
      <c r="AG155" s="272">
        <v>-3629.44211</v>
      </c>
      <c r="AH155" s="272">
        <v>114.26449000000001</v>
      </c>
      <c r="AI155" s="184">
        <v>164.89846</v>
      </c>
      <c r="AJ155" s="272">
        <v>532.78426000000002</v>
      </c>
      <c r="AL155" s="272">
        <v>13097.039000000001</v>
      </c>
      <c r="AM155" s="184">
        <v>-156.44195999999999</v>
      </c>
      <c r="AN155" s="272">
        <v>3883.5839999999998</v>
      </c>
      <c r="AO155" s="343">
        <v>1677</v>
      </c>
      <c r="AP155" s="332">
        <v>9.9</v>
      </c>
      <c r="AQ155" s="448"/>
      <c r="AS155" s="455">
        <v>2505.5340799999999</v>
      </c>
      <c r="AT155" s="272">
        <v>7326.2476100000003</v>
      </c>
      <c r="AU155" s="450"/>
      <c r="AV155" s="334">
        <v>3242.90407</v>
      </c>
      <c r="AW155" s="334">
        <v>354.54212999999999</v>
      </c>
      <c r="AX155" s="334">
        <v>559.77876000000003</v>
      </c>
      <c r="AY155" s="334">
        <v>4157.2249599999996</v>
      </c>
      <c r="AZ155" s="334">
        <v>627.255</v>
      </c>
      <c r="BA155" s="272">
        <v>1.97801</v>
      </c>
      <c r="BB155" s="333">
        <v>453.35545000000002</v>
      </c>
      <c r="BC155" s="272">
        <v>368.38256000000001</v>
      </c>
      <c r="BD155" s="272">
        <v>34.592750000000002</v>
      </c>
      <c r="BE155" s="334">
        <v>-54.658349999999999</v>
      </c>
      <c r="BG155" s="331">
        <v>1095.49548</v>
      </c>
      <c r="BH155" s="331">
        <v>0</v>
      </c>
      <c r="BI155" s="331">
        <v>0</v>
      </c>
      <c r="BJ155" s="334">
        <v>-1150.15383</v>
      </c>
      <c r="BK155" s="334">
        <v>0</v>
      </c>
      <c r="BL155" s="331">
        <v>0</v>
      </c>
      <c r="BM155" s="331">
        <v>0</v>
      </c>
      <c r="BN155" s="334">
        <v>-1150.15383</v>
      </c>
      <c r="BP155" s="334">
        <v>-127.62895000000007</v>
      </c>
      <c r="BQ155" s="311">
        <v>-83.294240000000002</v>
      </c>
      <c r="BR155" s="272">
        <v>-28.63589</v>
      </c>
      <c r="BS155" s="461">
        <v>-747.76475000000005</v>
      </c>
      <c r="BT155" s="272">
        <v>107</v>
      </c>
      <c r="BU155" s="272">
        <v>42.546610000000001</v>
      </c>
      <c r="BV155" s="333">
        <v>366.86015999999995</v>
      </c>
      <c r="BX155" s="272">
        <v>13739.624</v>
      </c>
      <c r="BY155" s="469">
        <v>0</v>
      </c>
      <c r="BZ155" s="469">
        <v>642.58500000000004</v>
      </c>
      <c r="CA155" s="552"/>
      <c r="CB155" s="335">
        <v>9.9</v>
      </c>
      <c r="CC155" s="471">
        <f t="shared" si="2"/>
        <v>9.9</v>
      </c>
      <c r="CD155" s="558"/>
      <c r="CE155" s="272"/>
      <c r="CF155" s="262"/>
      <c r="CI155" s="158">
        <v>0</v>
      </c>
      <c r="CJ155" s="331">
        <v>498.66332372460789</v>
      </c>
      <c r="CK155" s="331">
        <v>367.21956935731333</v>
      </c>
      <c r="CL155" s="331">
        <v>717.17663094798399</v>
      </c>
      <c r="CM155" s="472">
        <v>887.50193764636765</v>
      </c>
      <c r="CN155" s="472">
        <v>1003.5067578721835</v>
      </c>
      <c r="CO155" s="480">
        <v>-459.03699999999998</v>
      </c>
      <c r="CP155" s="557"/>
      <c r="CQ155" s="474">
        <v>0</v>
      </c>
      <c r="CR155" s="474">
        <v>99.162850000000006</v>
      </c>
    </row>
    <row r="156" spans="1:96" x14ac:dyDescent="0.2">
      <c r="A156" s="154">
        <v>505</v>
      </c>
      <c r="B156" s="156" t="s">
        <v>186</v>
      </c>
      <c r="C156" s="325">
        <v>20957</v>
      </c>
      <c r="D156" s="270">
        <v>8.36</v>
      </c>
      <c r="E156" s="185"/>
      <c r="G156" s="272">
        <v>10206.7916</v>
      </c>
      <c r="H156" s="272">
        <v>66528.611669999998</v>
      </c>
      <c r="I156" s="272"/>
      <c r="J156" s="272">
        <v>41631.464919999999</v>
      </c>
      <c r="K156" s="272">
        <v>3998.6646800000003</v>
      </c>
      <c r="L156" s="272">
        <v>9035.6343800000013</v>
      </c>
      <c r="M156" s="272">
        <v>54665.763979999996</v>
      </c>
      <c r="N156" s="272">
        <v>15206.127</v>
      </c>
      <c r="O156" s="272">
        <v>231.86795999999998</v>
      </c>
      <c r="P156" s="272">
        <v>402.18103000000002</v>
      </c>
      <c r="Q156" s="272">
        <v>337.30633</v>
      </c>
      <c r="R156" s="272">
        <v>12.342979999999999</v>
      </c>
      <c r="S156" s="272">
        <v>13779.400619999999</v>
      </c>
      <c r="U156" s="272">
        <v>8235.4034200000006</v>
      </c>
      <c r="V156" s="272">
        <v>0</v>
      </c>
      <c r="W156" s="272">
        <v>0</v>
      </c>
      <c r="X156" s="272">
        <v>5543.9971999999998</v>
      </c>
      <c r="Y156" s="272">
        <v>-30.68412</v>
      </c>
      <c r="Z156" s="272">
        <v>5000</v>
      </c>
      <c r="AA156" s="272">
        <v>0</v>
      </c>
      <c r="AB156" s="272">
        <v>574.68131999999991</v>
      </c>
      <c r="AD156" s="272">
        <v>72841.785069999998</v>
      </c>
      <c r="AE156" s="157">
        <v>13010.31846</v>
      </c>
      <c r="AF156" s="184">
        <v>-915.18534</v>
      </c>
      <c r="AG156" s="272">
        <v>-10344.305759999999</v>
      </c>
      <c r="AH156" s="272">
        <v>180</v>
      </c>
      <c r="AI156" s="184">
        <v>1460.191</v>
      </c>
      <c r="AJ156" s="272">
        <v>2984.6104700000001</v>
      </c>
      <c r="AL156" s="272">
        <v>87723.49500000001</v>
      </c>
      <c r="AM156" s="184">
        <v>655.19279000000006</v>
      </c>
      <c r="AN156" s="272">
        <v>-8667.9220000000005</v>
      </c>
      <c r="AO156" s="343">
        <v>20934</v>
      </c>
      <c r="AP156" s="332">
        <v>8.3000000000000007</v>
      </c>
      <c r="AQ156" s="448"/>
      <c r="AS156" s="455">
        <v>12659.012849999999</v>
      </c>
      <c r="AT156" s="272">
        <v>67997.336319999988</v>
      </c>
      <c r="AU156" s="450"/>
      <c r="AV156" s="334">
        <v>40930.403020000005</v>
      </c>
      <c r="AW156" s="334">
        <v>3240.6593700000003</v>
      </c>
      <c r="AX156" s="334">
        <v>9544.6843399999998</v>
      </c>
      <c r="AY156" s="334">
        <v>53715.746729999999</v>
      </c>
      <c r="AZ156" s="334">
        <v>14553.421</v>
      </c>
      <c r="BA156" s="272">
        <v>1819.5718200000001</v>
      </c>
      <c r="BB156" s="333">
        <v>293.63168999999999</v>
      </c>
      <c r="BC156" s="272">
        <v>273.36384999999996</v>
      </c>
      <c r="BD156" s="272">
        <v>13.417440000000001</v>
      </c>
      <c r="BE156" s="334">
        <v>14799.71572</v>
      </c>
      <c r="BG156" s="331">
        <v>9289.2317899999998</v>
      </c>
      <c r="BH156" s="334">
        <v>0</v>
      </c>
      <c r="BI156" s="334">
        <v>0</v>
      </c>
      <c r="BJ156" s="334">
        <v>5510.4839299999994</v>
      </c>
      <c r="BK156" s="334">
        <v>-30.68412</v>
      </c>
      <c r="BL156" s="334">
        <v>4000</v>
      </c>
      <c r="BM156" s="334">
        <v>0</v>
      </c>
      <c r="BN156" s="334">
        <v>1541.16805</v>
      </c>
      <c r="BP156" s="334">
        <v>74226.041769999996</v>
      </c>
      <c r="BQ156" s="311">
        <v>11746.251829999999</v>
      </c>
      <c r="BR156" s="272">
        <v>-3053.46389</v>
      </c>
      <c r="BS156" s="461">
        <v>-9164.0214199999991</v>
      </c>
      <c r="BT156" s="272">
        <v>100</v>
      </c>
      <c r="BU156" s="272">
        <v>3636.8083500000002</v>
      </c>
      <c r="BV156" s="333">
        <v>4382.7807899999998</v>
      </c>
      <c r="BX156" s="272">
        <v>83055.573000000004</v>
      </c>
      <c r="BY156" s="469">
        <v>185.06399999999999</v>
      </c>
      <c r="BZ156" s="469">
        <v>-4667.9219999999996</v>
      </c>
      <c r="CA156" s="552"/>
      <c r="CB156" s="335">
        <v>8.3000000000000025</v>
      </c>
      <c r="CC156" s="471">
        <f t="shared" si="2"/>
        <v>8.3000000000000025</v>
      </c>
      <c r="CD156" s="558"/>
      <c r="CE156" s="272"/>
      <c r="CF156" s="262"/>
      <c r="CI156" s="158">
        <v>0</v>
      </c>
      <c r="CJ156" s="331">
        <v>15331.464441432508</v>
      </c>
      <c r="CK156" s="331">
        <v>15143.334852327906</v>
      </c>
      <c r="CL156" s="331">
        <v>14771.538218222395</v>
      </c>
      <c r="CM156" s="472">
        <v>15671.724725864689</v>
      </c>
      <c r="CN156" s="472">
        <v>15685.413596824972</v>
      </c>
      <c r="CO156" s="480">
        <v>-1868.498</v>
      </c>
      <c r="CP156" s="557"/>
      <c r="CQ156" s="474">
        <v>74.679429999999996</v>
      </c>
      <c r="CR156" s="474">
        <v>82.984920000000002</v>
      </c>
    </row>
    <row r="157" spans="1:96" x14ac:dyDescent="0.2">
      <c r="A157" s="154">
        <v>508</v>
      </c>
      <c r="B157" s="156" t="s">
        <v>350</v>
      </c>
      <c r="C157" s="325">
        <v>9271</v>
      </c>
      <c r="D157" s="270">
        <v>9.86</v>
      </c>
      <c r="E157" s="185"/>
      <c r="G157" s="272">
        <v>5793.2960199999998</v>
      </c>
      <c r="H157" s="272">
        <v>26549.163969999998</v>
      </c>
      <c r="I157" s="272"/>
      <c r="J157" s="272">
        <v>19171.84186</v>
      </c>
      <c r="K157" s="272">
        <v>3486.52009</v>
      </c>
      <c r="L157" s="272">
        <v>3249.7163399999999</v>
      </c>
      <c r="M157" s="272">
        <v>25908.078289999998</v>
      </c>
      <c r="N157" s="272">
        <v>1365.2080000000001</v>
      </c>
      <c r="O157" s="272">
        <v>130.33978999999999</v>
      </c>
      <c r="P157" s="272">
        <v>607.26231999999993</v>
      </c>
      <c r="Q157" s="272">
        <v>213.55025000000001</v>
      </c>
      <c r="R157" s="272">
        <v>5.83894</v>
      </c>
      <c r="S157" s="272">
        <v>6248.20712</v>
      </c>
      <c r="U157" s="272">
        <v>3882.8510699999997</v>
      </c>
      <c r="V157" s="272">
        <v>0</v>
      </c>
      <c r="W157" s="272">
        <v>0</v>
      </c>
      <c r="X157" s="272">
        <v>2365.3560499999999</v>
      </c>
      <c r="Y157" s="272">
        <v>-4.1500000000000004</v>
      </c>
      <c r="Z157" s="272">
        <v>0</v>
      </c>
      <c r="AA157" s="272">
        <v>0</v>
      </c>
      <c r="AB157" s="272">
        <v>2369.50605</v>
      </c>
      <c r="AD157" s="272">
        <v>393.12496999999985</v>
      </c>
      <c r="AE157" s="157">
        <v>6078.4152400000003</v>
      </c>
      <c r="AF157" s="184">
        <v>-169.79187999999999</v>
      </c>
      <c r="AG157" s="272">
        <v>-2057.87417</v>
      </c>
      <c r="AH157" s="272">
        <v>72.42</v>
      </c>
      <c r="AI157" s="184">
        <v>86.625</v>
      </c>
      <c r="AJ157" s="272">
        <v>2317.6357899999998</v>
      </c>
      <c r="AL157" s="272">
        <v>33425.510999999999</v>
      </c>
      <c r="AM157" s="184">
        <v>-677.27273000000002</v>
      </c>
      <c r="AN157" s="272">
        <v>-5230.5629600000002</v>
      </c>
      <c r="AO157" s="343">
        <v>9270</v>
      </c>
      <c r="AP157" s="332">
        <v>9.9</v>
      </c>
      <c r="AQ157" s="448"/>
      <c r="AS157" s="455">
        <v>6306.31059</v>
      </c>
      <c r="AT157" s="272">
        <v>26567.069179999999</v>
      </c>
      <c r="AU157" s="450"/>
      <c r="AV157" s="334">
        <v>18767.378829999998</v>
      </c>
      <c r="AW157" s="334">
        <v>5092.9650700000002</v>
      </c>
      <c r="AX157" s="334">
        <v>3078.4555</v>
      </c>
      <c r="AY157" s="334">
        <v>26938.7994</v>
      </c>
      <c r="AZ157" s="334">
        <v>855.03700000000003</v>
      </c>
      <c r="BA157" s="272">
        <v>132.92455999999999</v>
      </c>
      <c r="BB157" s="333">
        <v>494.68018000000001</v>
      </c>
      <c r="BC157" s="272">
        <v>183.20660000000001</v>
      </c>
      <c r="BD157" s="272">
        <v>1.74726</v>
      </c>
      <c r="BE157" s="334">
        <v>7352.7815300000002</v>
      </c>
      <c r="BG157" s="331">
        <v>4509.3429599999999</v>
      </c>
      <c r="BH157" s="331">
        <v>0</v>
      </c>
      <c r="BI157" s="331">
        <v>0</v>
      </c>
      <c r="BJ157" s="334">
        <v>2843.4385699999998</v>
      </c>
      <c r="BK157" s="334">
        <v>-4.1500000000000004</v>
      </c>
      <c r="BL157" s="331">
        <v>0</v>
      </c>
      <c r="BM157" s="331">
        <v>0</v>
      </c>
      <c r="BN157" s="334">
        <v>2847.5885699999999</v>
      </c>
      <c r="BP157" s="334">
        <v>3240.7135400000002</v>
      </c>
      <c r="BQ157" s="311">
        <v>7331.0371500000001</v>
      </c>
      <c r="BR157" s="272">
        <v>-21.74436</v>
      </c>
      <c r="BS157" s="461">
        <v>-1586.1141399999999</v>
      </c>
      <c r="BT157" s="272">
        <v>410.47025000000002</v>
      </c>
      <c r="BU157" s="272">
        <v>38.863</v>
      </c>
      <c r="BV157" s="333">
        <v>2419.8699699999997</v>
      </c>
      <c r="BX157" s="272">
        <v>28094.948039999999</v>
      </c>
      <c r="BY157" s="469">
        <v>136.06062</v>
      </c>
      <c r="BZ157" s="469">
        <v>-5330.5629600000002</v>
      </c>
      <c r="CA157" s="552"/>
      <c r="CB157" s="335">
        <v>9.9000000000000021</v>
      </c>
      <c r="CC157" s="471">
        <f t="shared" si="2"/>
        <v>9.9000000000000021</v>
      </c>
      <c r="CD157" s="558"/>
      <c r="CE157" s="272"/>
      <c r="CF157" s="262"/>
      <c r="CG157" s="260"/>
      <c r="CI157" s="158">
        <v>0</v>
      </c>
      <c r="CJ157" s="331">
        <v>1567.4146149568739</v>
      </c>
      <c r="CK157" s="331">
        <v>-147.64726335544509</v>
      </c>
      <c r="CL157" s="331">
        <v>1160.7765868311242</v>
      </c>
      <c r="CM157" s="472">
        <v>1519.7360380281089</v>
      </c>
      <c r="CN157" s="472">
        <v>1475.2564113262151</v>
      </c>
      <c r="CO157" s="480">
        <v>-226.27199999999999</v>
      </c>
      <c r="CP157" s="557"/>
      <c r="CQ157" s="474">
        <v>0</v>
      </c>
      <c r="CR157" s="474">
        <v>0</v>
      </c>
    </row>
    <row r="158" spans="1:96" x14ac:dyDescent="0.2">
      <c r="A158" s="154">
        <v>507</v>
      </c>
      <c r="B158" s="156" t="s">
        <v>187</v>
      </c>
      <c r="C158" s="325">
        <v>5522</v>
      </c>
      <c r="D158" s="270">
        <v>8.11</v>
      </c>
      <c r="E158" s="185"/>
      <c r="G158" s="272">
        <v>4902.99226</v>
      </c>
      <c r="H158" s="272">
        <v>18923.533050000002</v>
      </c>
      <c r="I158" s="272"/>
      <c r="J158" s="272">
        <v>8701.694300000001</v>
      </c>
      <c r="K158" s="272">
        <v>2209.23101</v>
      </c>
      <c r="L158" s="272">
        <v>3043.7240200000001</v>
      </c>
      <c r="M158" s="272">
        <v>13954.64933</v>
      </c>
      <c r="N158" s="272">
        <v>1872.9860000000001</v>
      </c>
      <c r="O158" s="272">
        <v>39.192819999999998</v>
      </c>
      <c r="P158" s="272">
        <v>125.27680000000001</v>
      </c>
      <c r="Q158" s="272">
        <v>409.18263000000002</v>
      </c>
      <c r="R158" s="272">
        <v>24.793400000000002</v>
      </c>
      <c r="S158" s="272">
        <v>2105.3997899999999</v>
      </c>
      <c r="U158" s="272">
        <v>2014.7388700000001</v>
      </c>
      <c r="V158" s="272">
        <v>34.554580000000001</v>
      </c>
      <c r="W158" s="272">
        <v>0</v>
      </c>
      <c r="X158" s="272">
        <v>125.21550000000001</v>
      </c>
      <c r="Y158" s="272">
        <v>0</v>
      </c>
      <c r="Z158" s="272">
        <v>0</v>
      </c>
      <c r="AA158" s="272">
        <v>0</v>
      </c>
      <c r="AB158" s="272">
        <v>125.21550000000001</v>
      </c>
      <c r="AD158" s="272">
        <v>6812.0972700000002</v>
      </c>
      <c r="AE158" s="157">
        <v>2653.57717</v>
      </c>
      <c r="AF158" s="184">
        <v>513.62279999999998</v>
      </c>
      <c r="AG158" s="272">
        <v>-1052.0131000000001</v>
      </c>
      <c r="AH158" s="272">
        <v>0</v>
      </c>
      <c r="AI158" s="184">
        <v>47.604839999999996</v>
      </c>
      <c r="AJ158" s="272">
        <v>5927.5320499999998</v>
      </c>
      <c r="AL158" s="272">
        <v>20074.002489999999</v>
      </c>
      <c r="AM158" s="184">
        <v>73.589020000000005</v>
      </c>
      <c r="AN158" s="272">
        <v>-203.91759999999999</v>
      </c>
      <c r="AO158" s="343">
        <v>5532</v>
      </c>
      <c r="AP158" s="332">
        <v>8.1</v>
      </c>
      <c r="AQ158" s="448"/>
      <c r="AS158" s="455">
        <v>5021.2906199999998</v>
      </c>
      <c r="AT158" s="272">
        <v>17987.666639999999</v>
      </c>
      <c r="AU158" s="450"/>
      <c r="AV158" s="334">
        <v>8529.55098</v>
      </c>
      <c r="AW158" s="334">
        <v>1927.01541</v>
      </c>
      <c r="AX158" s="334">
        <v>3196.3430499999999</v>
      </c>
      <c r="AY158" s="334">
        <v>13652.909439999999</v>
      </c>
      <c r="AZ158" s="334">
        <v>1036.8140000000001</v>
      </c>
      <c r="BA158" s="272">
        <v>60.021029999999996</v>
      </c>
      <c r="BB158" s="333">
        <v>131.24323999999999</v>
      </c>
      <c r="BC158" s="272">
        <v>820.76396999999997</v>
      </c>
      <c r="BD158" s="272">
        <v>9.5435300000000005</v>
      </c>
      <c r="BE158" s="334">
        <v>2463.3456499999998</v>
      </c>
      <c r="BG158" s="331">
        <v>1620.60574</v>
      </c>
      <c r="BH158" s="331">
        <v>149.95291</v>
      </c>
      <c r="BI158" s="334">
        <v>0</v>
      </c>
      <c r="BJ158" s="334">
        <v>992.69281999999998</v>
      </c>
      <c r="BK158" s="334">
        <v>0</v>
      </c>
      <c r="BL158" s="334">
        <v>0</v>
      </c>
      <c r="BM158" s="331">
        <v>0</v>
      </c>
      <c r="BN158" s="334">
        <v>992.69281999999998</v>
      </c>
      <c r="BP158" s="334">
        <v>7804.7900899999995</v>
      </c>
      <c r="BQ158" s="311">
        <v>2613.1914900000002</v>
      </c>
      <c r="BR158" s="272">
        <v>-0.10707</v>
      </c>
      <c r="BS158" s="461">
        <v>-1492.53215</v>
      </c>
      <c r="BT158" s="272">
        <v>21.6</v>
      </c>
      <c r="BU158" s="272">
        <v>61.74</v>
      </c>
      <c r="BV158" s="333">
        <v>4905.8082199999999</v>
      </c>
      <c r="BX158" s="272">
        <v>17839.263099999996</v>
      </c>
      <c r="BY158" s="469">
        <v>101.91762</v>
      </c>
      <c r="BZ158" s="469">
        <v>-2234.7393900000002</v>
      </c>
      <c r="CA158" s="552"/>
      <c r="CB158" s="335">
        <v>8.5</v>
      </c>
      <c r="CC158" s="471">
        <f t="shared" si="2"/>
        <v>8.5</v>
      </c>
      <c r="CD158" s="561"/>
      <c r="CE158" s="272"/>
      <c r="CF158" s="262"/>
      <c r="CI158" s="158">
        <v>0</v>
      </c>
      <c r="CJ158" s="331">
        <v>1945.5295187961367</v>
      </c>
      <c r="CK158" s="331">
        <v>1500.9488258909507</v>
      </c>
      <c r="CL158" s="331">
        <v>1973.5547160280182</v>
      </c>
      <c r="CM158" s="472">
        <v>2033.9361721054663</v>
      </c>
      <c r="CN158" s="472">
        <v>2315.0522029964081</v>
      </c>
      <c r="CO158" s="480">
        <v>-56.521000000000001</v>
      </c>
      <c r="CP158" s="557"/>
      <c r="CQ158" s="474">
        <v>0</v>
      </c>
      <c r="CR158" s="474">
        <v>0</v>
      </c>
    </row>
    <row r="159" spans="1:96" x14ac:dyDescent="0.2">
      <c r="A159" s="154">
        <v>529</v>
      </c>
      <c r="B159" s="156" t="s">
        <v>188</v>
      </c>
      <c r="C159" s="325">
        <v>19999</v>
      </c>
      <c r="D159" s="270">
        <v>6.36</v>
      </c>
      <c r="E159" s="185"/>
      <c r="G159" s="272">
        <v>23186.73947</v>
      </c>
      <c r="H159" s="272">
        <v>66527.280119999996</v>
      </c>
      <c r="I159" s="272"/>
      <c r="J159" s="272">
        <v>37322.379520000002</v>
      </c>
      <c r="K159" s="272">
        <v>8315.8129200000003</v>
      </c>
      <c r="L159" s="272">
        <v>7658.1097300000001</v>
      </c>
      <c r="M159" s="272">
        <v>53296.302170000003</v>
      </c>
      <c r="N159" s="272">
        <v>8914.7430000000004</v>
      </c>
      <c r="O159" s="272">
        <v>1169.6334299999999</v>
      </c>
      <c r="P159" s="272">
        <v>1.8166900000000001</v>
      </c>
      <c r="Q159" s="272">
        <v>1301.70616</v>
      </c>
      <c r="R159" s="272">
        <v>16.38738</v>
      </c>
      <c r="S159" s="272">
        <v>21744.127700000001</v>
      </c>
      <c r="U159" s="272">
        <v>11354.03966</v>
      </c>
      <c r="V159" s="272">
        <v>0</v>
      </c>
      <c r="W159" s="272">
        <v>0</v>
      </c>
      <c r="X159" s="272">
        <v>10390.088039999999</v>
      </c>
      <c r="Y159" s="272">
        <v>1152.9820300000001</v>
      </c>
      <c r="Z159" s="272">
        <v>8700</v>
      </c>
      <c r="AA159" s="272">
        <v>0</v>
      </c>
      <c r="AB159" s="272">
        <v>537.10600999999997</v>
      </c>
      <c r="AD159" s="272">
        <v>63155.179770000002</v>
      </c>
      <c r="AE159" s="157">
        <v>20414.435819999999</v>
      </c>
      <c r="AF159" s="184">
        <v>-1329.6918799999999</v>
      </c>
      <c r="AG159" s="272">
        <v>-15035.894380000002</v>
      </c>
      <c r="AH159" s="272">
        <v>51.60427</v>
      </c>
      <c r="AI159" s="184">
        <v>1487.835</v>
      </c>
      <c r="AJ159" s="272">
        <v>7236.7458899999992</v>
      </c>
      <c r="AL159" s="272">
        <v>0</v>
      </c>
      <c r="AM159" s="184">
        <v>271.56809999999996</v>
      </c>
      <c r="AN159" s="272">
        <v>-5500</v>
      </c>
      <c r="AO159" s="343">
        <v>20129</v>
      </c>
      <c r="AP159" s="332">
        <v>6.4</v>
      </c>
      <c r="AQ159" s="448"/>
      <c r="AS159" s="455">
        <v>23537.615590000001</v>
      </c>
      <c r="AT159" s="272">
        <v>67397.989230000007</v>
      </c>
      <c r="AU159" s="450"/>
      <c r="AV159" s="334">
        <v>34907.364390000002</v>
      </c>
      <c r="AW159" s="334">
        <v>6440.2079199999998</v>
      </c>
      <c r="AX159" s="334">
        <v>7521.3783300000005</v>
      </c>
      <c r="AY159" s="334">
        <v>48868.950640000003</v>
      </c>
      <c r="AZ159" s="334">
        <v>9726.0750000000007</v>
      </c>
      <c r="BA159" s="272">
        <v>1142.1143100000002</v>
      </c>
      <c r="BB159" s="333">
        <v>0</v>
      </c>
      <c r="BC159" s="272">
        <v>590.66930000000002</v>
      </c>
      <c r="BD159" s="272">
        <v>33.027180000000001</v>
      </c>
      <c r="BE159" s="334">
        <v>17124.21372</v>
      </c>
      <c r="BG159" s="331">
        <v>11987.273720000001</v>
      </c>
      <c r="BH159" s="331">
        <v>0</v>
      </c>
      <c r="BI159" s="331">
        <v>0</v>
      </c>
      <c r="BJ159" s="334">
        <v>5136.9399999999996</v>
      </c>
      <c r="BK159" s="331">
        <v>-191.65295999999998</v>
      </c>
      <c r="BL159" s="331">
        <v>0</v>
      </c>
      <c r="BM159" s="331">
        <v>0</v>
      </c>
      <c r="BN159" s="334">
        <v>5328.5929599999999</v>
      </c>
      <c r="BP159" s="334">
        <v>68483.772729999997</v>
      </c>
      <c r="BQ159" s="311">
        <v>16512.602490000001</v>
      </c>
      <c r="BR159" s="272">
        <v>-611.61122999999998</v>
      </c>
      <c r="BS159" s="461">
        <v>-16836.105489999998</v>
      </c>
      <c r="BT159" s="272">
        <v>68.07535</v>
      </c>
      <c r="BU159" s="272">
        <v>1648.0530000000001</v>
      </c>
      <c r="BV159" s="333">
        <v>8204.8547999999992</v>
      </c>
      <c r="BX159" s="272">
        <v>0</v>
      </c>
      <c r="BY159" s="469">
        <v>819.30041000000006</v>
      </c>
      <c r="BZ159" s="469">
        <v>0</v>
      </c>
      <c r="CA159" s="552"/>
      <c r="CB159" s="335">
        <v>6.4</v>
      </c>
      <c r="CC159" s="471">
        <f t="shared" si="2"/>
        <v>6.4</v>
      </c>
      <c r="CD159" s="558"/>
      <c r="CE159" s="272"/>
      <c r="CF159" s="262"/>
      <c r="CI159" s="158">
        <v>0</v>
      </c>
      <c r="CJ159" s="331">
        <v>11297.617718260359</v>
      </c>
      <c r="CK159" s="331">
        <v>10649.818724103347</v>
      </c>
      <c r="CL159" s="331">
        <v>10277.53283618722</v>
      </c>
      <c r="CM159" s="472">
        <v>11330.300160150578</v>
      </c>
      <c r="CN159" s="472">
        <v>11429.345546396586</v>
      </c>
      <c r="CO159" s="480">
        <v>-860.95</v>
      </c>
      <c r="CP159" s="557"/>
      <c r="CQ159" s="474">
        <v>420.48765999999995</v>
      </c>
      <c r="CR159" s="474">
        <v>689.80529000000001</v>
      </c>
    </row>
    <row r="160" spans="1:96" x14ac:dyDescent="0.2">
      <c r="A160" s="154">
        <v>531</v>
      </c>
      <c r="B160" s="156" t="s">
        <v>189</v>
      </c>
      <c r="C160" s="325">
        <v>4966</v>
      </c>
      <c r="D160" s="270">
        <v>9.11</v>
      </c>
      <c r="E160" s="185"/>
      <c r="G160" s="272">
        <v>3013.9887100000001</v>
      </c>
      <c r="H160" s="272">
        <v>14650.319599999999</v>
      </c>
      <c r="I160" s="272"/>
      <c r="J160" s="272">
        <v>9937.7374600000003</v>
      </c>
      <c r="K160" s="272">
        <v>701.79595999999992</v>
      </c>
      <c r="L160" s="272">
        <v>1659.12922</v>
      </c>
      <c r="M160" s="272">
        <v>12298.66264</v>
      </c>
      <c r="N160" s="272">
        <v>2098.8870000000002</v>
      </c>
      <c r="O160" s="272">
        <v>176.24439999999998</v>
      </c>
      <c r="P160" s="272">
        <v>72.938059999999993</v>
      </c>
      <c r="Q160" s="272">
        <v>129.8357</v>
      </c>
      <c r="R160" s="272">
        <v>5.4942099999999998</v>
      </c>
      <c r="S160" s="272">
        <v>2988.8665799999999</v>
      </c>
      <c r="U160" s="272">
        <v>1181.4932900000001</v>
      </c>
      <c r="V160" s="272">
        <v>0</v>
      </c>
      <c r="W160" s="272">
        <v>0</v>
      </c>
      <c r="X160" s="272">
        <v>1807.37329</v>
      </c>
      <c r="Y160" s="272">
        <v>-19.491349999999997</v>
      </c>
      <c r="Z160" s="272">
        <v>0</v>
      </c>
      <c r="AA160" s="272">
        <v>0</v>
      </c>
      <c r="AB160" s="272">
        <v>1826.86464</v>
      </c>
      <c r="AD160" s="272">
        <v>7018.5533999999998</v>
      </c>
      <c r="AE160" s="157">
        <v>3053.19443</v>
      </c>
      <c r="AF160" s="184">
        <v>64.327849999999998</v>
      </c>
      <c r="AG160" s="272">
        <v>-1080.32527</v>
      </c>
      <c r="AH160" s="272">
        <v>22.5</v>
      </c>
      <c r="AI160" s="184">
        <v>925.55044999999996</v>
      </c>
      <c r="AJ160" s="272">
        <v>5378.1331500000006</v>
      </c>
      <c r="AL160" s="272">
        <v>3950</v>
      </c>
      <c r="AM160" s="184">
        <v>133.78937999999999</v>
      </c>
      <c r="AN160" s="272">
        <v>-2500</v>
      </c>
      <c r="AO160" s="343">
        <v>4939</v>
      </c>
      <c r="AP160" s="332">
        <v>9.1</v>
      </c>
      <c r="AQ160" s="448"/>
      <c r="AS160" s="455">
        <v>2883.3020899999997</v>
      </c>
      <c r="AT160" s="272">
        <v>14927.907949999999</v>
      </c>
      <c r="AU160" s="450"/>
      <c r="AV160" s="334">
        <v>9604.8091199999999</v>
      </c>
      <c r="AW160" s="334">
        <v>667.95974000000001</v>
      </c>
      <c r="AX160" s="334">
        <v>1698.9793999999999</v>
      </c>
      <c r="AY160" s="334">
        <v>11971.74826</v>
      </c>
      <c r="AZ160" s="334">
        <v>786.21400000000006</v>
      </c>
      <c r="BA160" s="272">
        <v>141.28906000000001</v>
      </c>
      <c r="BB160" s="333">
        <v>24.66198</v>
      </c>
      <c r="BC160" s="272">
        <v>58.895510000000002</v>
      </c>
      <c r="BD160" s="272">
        <v>1.1048399999999998</v>
      </c>
      <c r="BE160" s="334">
        <v>887.77415000000008</v>
      </c>
      <c r="BG160" s="331">
        <v>1228.2408400000002</v>
      </c>
      <c r="BH160" s="331">
        <v>0</v>
      </c>
      <c r="BI160" s="331">
        <v>0</v>
      </c>
      <c r="BJ160" s="334">
        <v>-340.46669000000003</v>
      </c>
      <c r="BK160" s="331">
        <v>-19.41525</v>
      </c>
      <c r="BL160" s="331">
        <v>0</v>
      </c>
      <c r="BM160" s="331">
        <v>0</v>
      </c>
      <c r="BN160" s="334">
        <v>-321.05144000000001</v>
      </c>
      <c r="BP160" s="334">
        <v>6697.5019599999996</v>
      </c>
      <c r="BQ160" s="311">
        <v>889.78134</v>
      </c>
      <c r="BR160" s="272">
        <v>2.00719</v>
      </c>
      <c r="BS160" s="461">
        <v>-1298.88858</v>
      </c>
      <c r="BT160" s="272">
        <v>0</v>
      </c>
      <c r="BU160" s="272">
        <v>6.5351899999999992</v>
      </c>
      <c r="BV160" s="333">
        <v>4154.0373900000004</v>
      </c>
      <c r="BX160" s="272">
        <v>3150</v>
      </c>
      <c r="BY160" s="469">
        <v>41.286000000000001</v>
      </c>
      <c r="BZ160" s="469">
        <v>-800</v>
      </c>
      <c r="CA160" s="552"/>
      <c r="CB160" s="335">
        <v>9.1</v>
      </c>
      <c r="CC160" s="471">
        <f t="shared" si="2"/>
        <v>9.1</v>
      </c>
      <c r="CD160" s="558"/>
      <c r="CE160" s="272"/>
      <c r="CF160" s="262"/>
      <c r="CI160" s="158">
        <v>0</v>
      </c>
      <c r="CJ160" s="331">
        <v>1244.9091968496173</v>
      </c>
      <c r="CK160" s="331">
        <v>1263.8283567840174</v>
      </c>
      <c r="CL160" s="331">
        <v>1620.3504718696045</v>
      </c>
      <c r="CM160" s="472">
        <v>1896.9362035980548</v>
      </c>
      <c r="CN160" s="472">
        <v>1931.7641255924527</v>
      </c>
      <c r="CO160" s="480">
        <v>-305.74099999999999</v>
      </c>
      <c r="CP160" s="557"/>
      <c r="CQ160" s="474">
        <v>0</v>
      </c>
      <c r="CR160" s="474">
        <v>0</v>
      </c>
    </row>
    <row r="161" spans="1:96" x14ac:dyDescent="0.2">
      <c r="A161" s="265">
        <v>535</v>
      </c>
      <c r="B161" s="262" t="s">
        <v>190</v>
      </c>
      <c r="C161" s="325">
        <v>10454</v>
      </c>
      <c r="D161" s="270">
        <v>9.36</v>
      </c>
      <c r="E161" s="311"/>
      <c r="F161" s="262"/>
      <c r="G161" s="272">
        <v>5092.1640099999995</v>
      </c>
      <c r="H161" s="272">
        <v>39935.8819</v>
      </c>
      <c r="I161" s="272"/>
      <c r="J161" s="272">
        <v>16812.58986</v>
      </c>
      <c r="K161" s="272">
        <v>1608.6145200000001</v>
      </c>
      <c r="L161" s="272">
        <v>2754.22073</v>
      </c>
      <c r="M161" s="272">
        <v>21175.42511</v>
      </c>
      <c r="N161" s="272">
        <v>16443.27</v>
      </c>
      <c r="O161" s="272">
        <v>251.78998999999999</v>
      </c>
      <c r="P161" s="272">
        <v>1222.21228</v>
      </c>
      <c r="Q161" s="272">
        <v>1359.25442</v>
      </c>
      <c r="R161" s="272">
        <v>-339.81225000000001</v>
      </c>
      <c r="S161" s="272">
        <v>3658.7552900000001</v>
      </c>
      <c r="T161" s="262"/>
      <c r="U161" s="272">
        <v>2931.9757599999998</v>
      </c>
      <c r="V161" s="272">
        <v>0</v>
      </c>
      <c r="W161" s="272">
        <v>0</v>
      </c>
      <c r="X161" s="272">
        <v>726.77953000000002</v>
      </c>
      <c r="Y161" s="272">
        <v>-2.0379999999999998</v>
      </c>
      <c r="Z161" s="272">
        <v>0</v>
      </c>
      <c r="AA161" s="272">
        <v>0</v>
      </c>
      <c r="AB161" s="272">
        <v>728.81753000000003</v>
      </c>
      <c r="AC161" s="262"/>
      <c r="AD161" s="272">
        <v>12255.86672</v>
      </c>
      <c r="AE161" s="311">
        <v>3623.7331800000002</v>
      </c>
      <c r="AF161" s="272">
        <v>-35.022109999999998</v>
      </c>
      <c r="AG161" s="272">
        <v>-9878.8173100000004</v>
      </c>
      <c r="AH161" s="272">
        <v>129.88976</v>
      </c>
      <c r="AI161" s="272">
        <v>2872.0366200000003</v>
      </c>
      <c r="AJ161" s="272">
        <v>21331.771339999999</v>
      </c>
      <c r="AK161" s="262"/>
      <c r="AL161" s="272">
        <v>73648.881999999998</v>
      </c>
      <c r="AM161" s="272">
        <v>0</v>
      </c>
      <c r="AN161" s="272">
        <v>9849.6260000000002</v>
      </c>
      <c r="AO161" s="343">
        <v>10378</v>
      </c>
      <c r="AP161" s="332">
        <v>9.9</v>
      </c>
      <c r="AQ161" s="446"/>
      <c r="AS161" s="455">
        <v>5617.7662699999992</v>
      </c>
      <c r="AT161" s="272">
        <v>40943.959790000001</v>
      </c>
      <c r="AU161" s="450"/>
      <c r="AV161" s="334">
        <v>17944.80503</v>
      </c>
      <c r="AW161" s="334">
        <v>1480.1592499999999</v>
      </c>
      <c r="AX161" s="334">
        <v>2767.5488500000001</v>
      </c>
      <c r="AY161" s="334">
        <v>22192.513129999999</v>
      </c>
      <c r="AZ161" s="334">
        <v>15594.467000000001</v>
      </c>
      <c r="BA161" s="272">
        <v>356.62549999999999</v>
      </c>
      <c r="BB161" s="333">
        <v>1950.26947</v>
      </c>
      <c r="BC161" s="272">
        <v>3301.51892</v>
      </c>
      <c r="BD161" s="272">
        <v>1206.77163</v>
      </c>
      <c r="BE161" s="334">
        <v>3139.0359700000004</v>
      </c>
      <c r="BG161" s="331">
        <v>2945.55987</v>
      </c>
      <c r="BH161" s="331">
        <v>0</v>
      </c>
      <c r="BI161" s="334">
        <v>0</v>
      </c>
      <c r="BJ161" s="334">
        <v>193.4761</v>
      </c>
      <c r="BK161" s="334">
        <v>-2.0379999999999998</v>
      </c>
      <c r="BL161" s="331">
        <v>0</v>
      </c>
      <c r="BM161" s="331">
        <v>0</v>
      </c>
      <c r="BN161" s="334">
        <v>195.51410000000001</v>
      </c>
      <c r="BP161" s="334">
        <v>12451.38082</v>
      </c>
      <c r="BQ161" s="311">
        <v>3404.5135800000003</v>
      </c>
      <c r="BR161" s="272">
        <v>265.47760999999997</v>
      </c>
      <c r="BS161" s="461">
        <v>-9258.2598000000016</v>
      </c>
      <c r="BT161" s="272">
        <v>457.01698999999996</v>
      </c>
      <c r="BU161" s="272">
        <v>24.42</v>
      </c>
      <c r="BV161" s="333">
        <v>21077.702249999998</v>
      </c>
      <c r="BX161" s="272">
        <v>86384.216</v>
      </c>
      <c r="BY161" s="469">
        <v>-3000</v>
      </c>
      <c r="BZ161" s="469">
        <v>12735.334000000001</v>
      </c>
      <c r="CA161" s="552"/>
      <c r="CB161" s="335">
        <v>9.9</v>
      </c>
      <c r="CC161" s="471">
        <f t="shared" si="2"/>
        <v>9.9</v>
      </c>
      <c r="CD161" s="558"/>
      <c r="CE161" s="272"/>
      <c r="CF161" s="262"/>
      <c r="CG161" s="260"/>
      <c r="CH161" s="262"/>
      <c r="CI161" s="260">
        <v>0</v>
      </c>
      <c r="CJ161" s="331">
        <v>16435.023648100443</v>
      </c>
      <c r="CK161" s="331">
        <v>16703.766666936815</v>
      </c>
      <c r="CL161" s="331">
        <v>16715.267347595578</v>
      </c>
      <c r="CM161" s="472">
        <v>17372.463873672827</v>
      </c>
      <c r="CN161" s="472">
        <v>17406.290876194878</v>
      </c>
      <c r="CO161" s="480">
        <v>-626.64599999999996</v>
      </c>
      <c r="CP161" s="557"/>
      <c r="CQ161" s="474">
        <v>155.13369</v>
      </c>
      <c r="CR161" s="474">
        <v>177.14604</v>
      </c>
    </row>
    <row r="162" spans="1:96" x14ac:dyDescent="0.2">
      <c r="A162" s="154">
        <v>536</v>
      </c>
      <c r="B162" s="156" t="s">
        <v>191</v>
      </c>
      <c r="C162" s="325">
        <v>35647</v>
      </c>
      <c r="D162" s="270">
        <v>8.36</v>
      </c>
      <c r="E162" s="185"/>
      <c r="G162" s="272">
        <v>23224.334709999999</v>
      </c>
      <c r="H162" s="272">
        <v>112574.76041</v>
      </c>
      <c r="I162" s="272"/>
      <c r="J162" s="272">
        <v>74334.891780000005</v>
      </c>
      <c r="K162" s="272">
        <v>6861.4023399999996</v>
      </c>
      <c r="L162" s="272">
        <v>10525.23727</v>
      </c>
      <c r="M162" s="272">
        <v>91721.531390000004</v>
      </c>
      <c r="N162" s="272">
        <v>19453.826000000001</v>
      </c>
      <c r="O162" s="272">
        <v>505.69193999999999</v>
      </c>
      <c r="P162" s="272">
        <v>1116.3162</v>
      </c>
      <c r="Q162" s="272">
        <v>1788.98307</v>
      </c>
      <c r="R162" s="272">
        <v>363.98864000000003</v>
      </c>
      <c r="S162" s="272">
        <v>25323.06034</v>
      </c>
      <c r="U162" s="272">
        <v>14460.109960000002</v>
      </c>
      <c r="V162" s="272">
        <v>0</v>
      </c>
      <c r="W162" s="272">
        <v>0</v>
      </c>
      <c r="X162" s="272">
        <v>10862.95038</v>
      </c>
      <c r="Y162" s="272">
        <v>-67.20796</v>
      </c>
      <c r="Z162" s="272">
        <v>0</v>
      </c>
      <c r="AA162" s="272">
        <v>0</v>
      </c>
      <c r="AB162" s="272">
        <v>10930.15834</v>
      </c>
      <c r="AD162" s="272">
        <v>45139.919170000001</v>
      </c>
      <c r="AE162" s="157">
        <v>21660.091629999999</v>
      </c>
      <c r="AF162" s="184">
        <v>-3662.9687100000001</v>
      </c>
      <c r="AG162" s="272">
        <v>-28604.247829999997</v>
      </c>
      <c r="AH162" s="272">
        <v>932.58361000000002</v>
      </c>
      <c r="AI162" s="184">
        <v>3725.9252200000001</v>
      </c>
      <c r="AJ162" s="272">
        <v>19806.808829999998</v>
      </c>
      <c r="AL162" s="272">
        <v>102057.1133</v>
      </c>
      <c r="AM162" s="184">
        <v>1569.0602900000001</v>
      </c>
      <c r="AN162" s="272">
        <v>-9485.8875800000005</v>
      </c>
      <c r="AO162" s="343">
        <v>36176</v>
      </c>
      <c r="AP162" s="332">
        <v>8.4</v>
      </c>
      <c r="AQ162" s="448"/>
      <c r="AS162" s="455">
        <v>24291.54794</v>
      </c>
      <c r="AT162" s="272">
        <v>117184.25065</v>
      </c>
      <c r="AU162" s="450"/>
      <c r="AV162" s="334">
        <v>71305.506720000005</v>
      </c>
      <c r="AW162" s="334">
        <v>5297.5865800000001</v>
      </c>
      <c r="AX162" s="334">
        <v>11331.03189</v>
      </c>
      <c r="AY162" s="334">
        <v>87934.125189999992</v>
      </c>
      <c r="AZ162" s="334">
        <v>19016.424999999999</v>
      </c>
      <c r="BA162" s="272">
        <v>561.05381000000011</v>
      </c>
      <c r="BB162" s="333">
        <v>1556.7513799999999</v>
      </c>
      <c r="BC162" s="272">
        <v>1247.78379</v>
      </c>
      <c r="BD162" s="272">
        <v>122.4273</v>
      </c>
      <c r="BE162" s="334">
        <v>16347.26059</v>
      </c>
      <c r="BG162" s="331">
        <v>16111.55827</v>
      </c>
      <c r="BH162" s="331">
        <v>0</v>
      </c>
      <c r="BI162" s="331">
        <v>0</v>
      </c>
      <c r="BJ162" s="334">
        <v>235.70232000000001</v>
      </c>
      <c r="BK162" s="331">
        <v>-67.207899999999995</v>
      </c>
      <c r="BL162" s="331">
        <v>0</v>
      </c>
      <c r="BM162" s="334">
        <v>0</v>
      </c>
      <c r="BN162" s="334">
        <v>302.91021999999998</v>
      </c>
      <c r="BP162" s="334">
        <v>45442.829389999999</v>
      </c>
      <c r="BQ162" s="311">
        <v>13512.126829999999</v>
      </c>
      <c r="BR162" s="272">
        <v>-2835.1337599999997</v>
      </c>
      <c r="BS162" s="461">
        <v>-31638.379140000001</v>
      </c>
      <c r="BT162" s="272">
        <v>203.10915</v>
      </c>
      <c r="BU162" s="272">
        <v>3289.0585699999997</v>
      </c>
      <c r="BV162" s="333">
        <v>15678.75164</v>
      </c>
      <c r="BX162" s="272">
        <v>121644.83898999999</v>
      </c>
      <c r="BY162" s="469">
        <v>1225.33566</v>
      </c>
      <c r="BZ162" s="469">
        <v>19587.725690000003</v>
      </c>
      <c r="CA162" s="552"/>
      <c r="CB162" s="335">
        <v>8.4</v>
      </c>
      <c r="CC162" s="471">
        <f t="shared" si="2"/>
        <v>8.4</v>
      </c>
      <c r="CD162" s="558"/>
      <c r="CE162" s="272"/>
      <c r="CF162" s="262"/>
      <c r="CI162" s="158">
        <v>0</v>
      </c>
      <c r="CJ162" s="331">
        <v>22615.499446112157</v>
      </c>
      <c r="CK162" s="331">
        <v>22891.18117230347</v>
      </c>
      <c r="CL162" s="331">
        <v>23628.041448177471</v>
      </c>
      <c r="CM162" s="472">
        <v>25473.891772733783</v>
      </c>
      <c r="CN162" s="472">
        <v>25860.682753388162</v>
      </c>
      <c r="CO162" s="480">
        <v>-1090.463</v>
      </c>
      <c r="CP162" s="557"/>
      <c r="CQ162" s="474">
        <v>2683.75848</v>
      </c>
      <c r="CR162" s="474">
        <v>2159.7541900000001</v>
      </c>
    </row>
    <row r="163" spans="1:96" x14ac:dyDescent="0.2">
      <c r="A163" s="154">
        <v>538</v>
      </c>
      <c r="B163" s="156" t="s">
        <v>192</v>
      </c>
      <c r="C163" s="325">
        <v>4695</v>
      </c>
      <c r="D163" s="270">
        <v>8.86</v>
      </c>
      <c r="E163" s="185"/>
      <c r="G163" s="272">
        <v>2676.6103399999997</v>
      </c>
      <c r="H163" s="272">
        <v>17374.22596</v>
      </c>
      <c r="I163" s="272"/>
      <c r="J163" s="272">
        <v>9289.4956600000005</v>
      </c>
      <c r="K163" s="272">
        <v>360.99196000000001</v>
      </c>
      <c r="L163" s="272">
        <v>916.89092000000005</v>
      </c>
      <c r="M163" s="272">
        <v>10567.37854</v>
      </c>
      <c r="N163" s="272">
        <v>5672.4489999999996</v>
      </c>
      <c r="O163" s="272">
        <v>34.159269999999999</v>
      </c>
      <c r="P163" s="272">
        <v>329.23394000000002</v>
      </c>
      <c r="Q163" s="272">
        <v>12.288740000000001</v>
      </c>
      <c r="R163" s="272">
        <v>51.28857</v>
      </c>
      <c r="S163" s="272">
        <v>1250.3494099999998</v>
      </c>
      <c r="U163" s="272">
        <v>2098.6582999999996</v>
      </c>
      <c r="V163" s="272">
        <v>0</v>
      </c>
      <c r="W163" s="272">
        <v>85.215570000000014</v>
      </c>
      <c r="X163" s="272">
        <v>-933.52445999999998</v>
      </c>
      <c r="Y163" s="272">
        <v>-114.39933000000001</v>
      </c>
      <c r="Z163" s="272">
        <v>0</v>
      </c>
      <c r="AA163" s="272">
        <v>0</v>
      </c>
      <c r="AB163" s="272">
        <v>-819.12513000000001</v>
      </c>
      <c r="AD163" s="272">
        <v>1643.6233200000001</v>
      </c>
      <c r="AE163" s="157">
        <v>1215.77358</v>
      </c>
      <c r="AF163" s="184">
        <v>50.639739999999996</v>
      </c>
      <c r="AG163" s="272">
        <v>-3156.38481</v>
      </c>
      <c r="AH163" s="272">
        <v>0</v>
      </c>
      <c r="AI163" s="184">
        <v>673.17326000000003</v>
      </c>
      <c r="AJ163" s="272">
        <v>9800.6934000000001</v>
      </c>
      <c r="AL163" s="272">
        <v>29754.701659999999</v>
      </c>
      <c r="AM163" s="184">
        <v>220.02878000000001</v>
      </c>
      <c r="AN163" s="272">
        <v>10448.396000000001</v>
      </c>
      <c r="AO163" s="343">
        <v>4659</v>
      </c>
      <c r="AP163" s="332">
        <v>9.1</v>
      </c>
      <c r="AQ163" s="448"/>
      <c r="AS163" s="455">
        <v>2588.7590099999998</v>
      </c>
      <c r="AT163" s="272">
        <v>17364.450739999997</v>
      </c>
      <c r="AU163" s="450"/>
      <c r="AV163" s="334">
        <v>9807.2864900000004</v>
      </c>
      <c r="AW163" s="334">
        <v>279.62340999999998</v>
      </c>
      <c r="AX163" s="334">
        <v>1135.3952199999999</v>
      </c>
      <c r="AY163" s="334">
        <v>11222.305119999999</v>
      </c>
      <c r="AZ163" s="334">
        <v>6099.9269999999997</v>
      </c>
      <c r="BA163" s="272">
        <v>30.586580000000001</v>
      </c>
      <c r="BB163" s="333">
        <v>563.01357999999993</v>
      </c>
      <c r="BC163" s="272">
        <v>24.078020000000002</v>
      </c>
      <c r="BD163" s="272">
        <v>15.818629999999999</v>
      </c>
      <c r="BE163" s="334">
        <v>2066.4007999999999</v>
      </c>
      <c r="BG163" s="331">
        <v>1769.03277</v>
      </c>
      <c r="BH163" s="334">
        <v>86.4</v>
      </c>
      <c r="BI163" s="331">
        <v>0</v>
      </c>
      <c r="BJ163" s="334">
        <v>383.76803000000001</v>
      </c>
      <c r="BK163" s="334">
        <v>-63.956980000000001</v>
      </c>
      <c r="BL163" s="331">
        <v>0</v>
      </c>
      <c r="BM163" s="331">
        <v>0</v>
      </c>
      <c r="BN163" s="334">
        <v>447.72501</v>
      </c>
      <c r="BP163" s="334">
        <v>2091.3483300000003</v>
      </c>
      <c r="BQ163" s="311">
        <v>2073.42598</v>
      </c>
      <c r="BR163" s="272">
        <v>-79.374820000000014</v>
      </c>
      <c r="BS163" s="461">
        <v>-3621.9974400000001</v>
      </c>
      <c r="BT163" s="272">
        <v>139.22999999999999</v>
      </c>
      <c r="BU163" s="272">
        <v>89.977999999999994</v>
      </c>
      <c r="BV163" s="333">
        <v>2198.05006</v>
      </c>
      <c r="BX163" s="272">
        <v>23153.097659999999</v>
      </c>
      <c r="BY163" s="469">
        <v>27.77778</v>
      </c>
      <c r="BZ163" s="469">
        <v>-6601.6040000000003</v>
      </c>
      <c r="CA163" s="552"/>
      <c r="CB163" s="335">
        <v>9.0999999999999979</v>
      </c>
      <c r="CC163" s="471">
        <f t="shared" si="2"/>
        <v>9.0999999999999979</v>
      </c>
      <c r="CD163" s="558"/>
      <c r="CE163" s="272"/>
      <c r="CF163" s="262"/>
      <c r="CI163" s="158">
        <v>0</v>
      </c>
      <c r="CJ163" s="331">
        <v>5607.4740285350344</v>
      </c>
      <c r="CK163" s="331">
        <v>5654.6653260976864</v>
      </c>
      <c r="CL163" s="331">
        <v>5765.3268834039</v>
      </c>
      <c r="CM163" s="472">
        <v>6213.0117858658186</v>
      </c>
      <c r="CN163" s="472">
        <v>6092.2280610180105</v>
      </c>
      <c r="CO163" s="480">
        <v>823.56100000000004</v>
      </c>
      <c r="CP163" s="557"/>
      <c r="CQ163" s="474">
        <v>42.21199</v>
      </c>
      <c r="CR163" s="474">
        <v>44.028019999999998</v>
      </c>
    </row>
    <row r="164" spans="1:96" x14ac:dyDescent="0.2">
      <c r="A164" s="154">
        <v>541</v>
      </c>
      <c r="B164" s="156" t="s">
        <v>193</v>
      </c>
      <c r="C164" s="325">
        <v>9130</v>
      </c>
      <c r="D164" s="270">
        <v>8.36</v>
      </c>
      <c r="E164" s="185"/>
      <c r="G164" s="272">
        <v>6780.3340699999999</v>
      </c>
      <c r="H164" s="272">
        <v>32899.337679999997</v>
      </c>
      <c r="I164" s="272"/>
      <c r="J164" s="272">
        <v>13034.502960000002</v>
      </c>
      <c r="K164" s="272">
        <v>3021.5607500000001</v>
      </c>
      <c r="L164" s="272">
        <v>2249.78791</v>
      </c>
      <c r="M164" s="272">
        <v>18305.851620000001</v>
      </c>
      <c r="N164" s="272">
        <v>13534.293</v>
      </c>
      <c r="O164" s="272">
        <v>792.21011999999996</v>
      </c>
      <c r="P164" s="272">
        <v>377.42518999999999</v>
      </c>
      <c r="Q164" s="272">
        <v>568.52935000000002</v>
      </c>
      <c r="R164" s="272">
        <v>16.568680000000001</v>
      </c>
      <c r="S164" s="272">
        <v>6751.8616099999999</v>
      </c>
      <c r="U164" s="272">
        <v>5895.6536599999999</v>
      </c>
      <c r="V164" s="272">
        <v>0</v>
      </c>
      <c r="W164" s="272">
        <v>0</v>
      </c>
      <c r="X164" s="272">
        <v>856.20794999999998</v>
      </c>
      <c r="Y164" s="272">
        <v>-690.58536000000004</v>
      </c>
      <c r="Z164" s="272">
        <v>1000</v>
      </c>
      <c r="AA164" s="272">
        <v>36</v>
      </c>
      <c r="AB164" s="272">
        <v>510.79331000000002</v>
      </c>
      <c r="AD164" s="272">
        <v>15678.565149999999</v>
      </c>
      <c r="AE164" s="157">
        <v>6279.8458499999997</v>
      </c>
      <c r="AF164" s="184">
        <v>-472.01576</v>
      </c>
      <c r="AG164" s="272">
        <v>-3615.7397299999998</v>
      </c>
      <c r="AH164" s="272">
        <v>9.8000000000000007</v>
      </c>
      <c r="AI164" s="184">
        <v>590.11532999999997</v>
      </c>
      <c r="AJ164" s="272">
        <v>1822.7378000000001</v>
      </c>
      <c r="AL164" s="272">
        <v>18369.28673</v>
      </c>
      <c r="AM164" s="184">
        <v>-2497.6012999999998</v>
      </c>
      <c r="AN164" s="272">
        <v>1145.8559599999999</v>
      </c>
      <c r="AO164" s="343">
        <v>8980</v>
      </c>
      <c r="AP164" s="332">
        <v>8.9</v>
      </c>
      <c r="AQ164" s="448"/>
      <c r="AS164" s="455">
        <v>6384.0492400000003</v>
      </c>
      <c r="AT164" s="272">
        <v>32072.495030000002</v>
      </c>
      <c r="AU164" s="450"/>
      <c r="AV164" s="334">
        <v>14196.999449999999</v>
      </c>
      <c r="AW164" s="334">
        <v>2837.97651</v>
      </c>
      <c r="AX164" s="334">
        <v>2307.3606400000003</v>
      </c>
      <c r="AY164" s="334">
        <v>19342.336600000002</v>
      </c>
      <c r="AZ164" s="334">
        <v>11204.546</v>
      </c>
      <c r="BA164" s="272">
        <v>902.11089000000004</v>
      </c>
      <c r="BB164" s="333">
        <v>502.09191999999996</v>
      </c>
      <c r="BC164" s="272">
        <v>570.70749000000001</v>
      </c>
      <c r="BD164" s="272">
        <v>19.267779999999998</v>
      </c>
      <c r="BE164" s="334">
        <v>5899.1273099999999</v>
      </c>
      <c r="BG164" s="331">
        <v>4845.0011299999996</v>
      </c>
      <c r="BH164" s="334">
        <v>0</v>
      </c>
      <c r="BI164" s="331">
        <v>0</v>
      </c>
      <c r="BJ164" s="334">
        <v>1054.12618</v>
      </c>
      <c r="BK164" s="334">
        <v>-691.22615000000008</v>
      </c>
      <c r="BL164" s="334">
        <v>1000</v>
      </c>
      <c r="BM164" s="331">
        <v>36</v>
      </c>
      <c r="BN164" s="334">
        <v>709.35232999999994</v>
      </c>
      <c r="BP164" s="334">
        <v>16387.91748</v>
      </c>
      <c r="BQ164" s="311">
        <v>4167.6676600000001</v>
      </c>
      <c r="BR164" s="272">
        <v>-1731.45965</v>
      </c>
      <c r="BS164" s="461">
        <v>-3224.3363899999999</v>
      </c>
      <c r="BT164" s="272">
        <v>20.0747</v>
      </c>
      <c r="BU164" s="272">
        <v>88.642560000000003</v>
      </c>
      <c r="BV164" s="333">
        <v>2662.7340099999997</v>
      </c>
      <c r="BX164" s="272">
        <v>18264.292000000001</v>
      </c>
      <c r="BY164" s="469">
        <v>-22.962</v>
      </c>
      <c r="BZ164" s="469">
        <v>-104.99472999999999</v>
      </c>
      <c r="CA164" s="552"/>
      <c r="CB164" s="335">
        <v>8.9</v>
      </c>
      <c r="CC164" s="471">
        <f t="shared" si="2"/>
        <v>8.9</v>
      </c>
      <c r="CD164" s="558"/>
      <c r="CE164" s="272"/>
      <c r="CF164" s="262"/>
      <c r="CI164" s="158">
        <v>0</v>
      </c>
      <c r="CJ164" s="331">
        <v>12037.11854242658</v>
      </c>
      <c r="CK164" s="331">
        <v>11563.953855599209</v>
      </c>
      <c r="CL164" s="331">
        <v>11509.289907333163</v>
      </c>
      <c r="CM164" s="472">
        <v>12391.976655080232</v>
      </c>
      <c r="CN164" s="472">
        <v>12649.86725964906</v>
      </c>
      <c r="CO164" s="480">
        <v>-465.42200000000003</v>
      </c>
      <c r="CP164" s="557"/>
      <c r="CQ164" s="474">
        <v>63.975000000000001</v>
      </c>
      <c r="CR164" s="474">
        <v>89.231820000000013</v>
      </c>
    </row>
    <row r="165" spans="1:96" x14ac:dyDescent="0.2">
      <c r="A165" s="154">
        <v>543</v>
      </c>
      <c r="B165" s="156" t="s">
        <v>194</v>
      </c>
      <c r="C165" s="325">
        <v>44785</v>
      </c>
      <c r="D165" s="270">
        <v>7.1100000000000012</v>
      </c>
      <c r="E165" s="185"/>
      <c r="G165" s="272">
        <v>44791.178459999996</v>
      </c>
      <c r="H165" s="272">
        <v>142700.66753999999</v>
      </c>
      <c r="I165" s="272"/>
      <c r="J165" s="272">
        <v>92194.752370000002</v>
      </c>
      <c r="K165" s="272">
        <v>9382.3246799999997</v>
      </c>
      <c r="L165" s="272">
        <v>13630.50123</v>
      </c>
      <c r="M165" s="272">
        <v>115207.57828</v>
      </c>
      <c r="N165" s="272">
        <v>31506.621999999999</v>
      </c>
      <c r="O165" s="272">
        <v>43.795019999999994</v>
      </c>
      <c r="P165" s="272">
        <v>3093.0785900000001</v>
      </c>
      <c r="Q165" s="272">
        <v>2799.4043300000003</v>
      </c>
      <c r="R165" s="272">
        <v>36.669309999999996</v>
      </c>
      <c r="S165" s="272">
        <v>49056.022960000002</v>
      </c>
      <c r="U165" s="272">
        <v>25760.549449999999</v>
      </c>
      <c r="V165" s="272">
        <v>0</v>
      </c>
      <c r="W165" s="272">
        <v>225.44319000000002</v>
      </c>
      <c r="X165" s="272">
        <v>23070.030320000002</v>
      </c>
      <c r="Y165" s="272">
        <v>-12.5</v>
      </c>
      <c r="Z165" s="272">
        <v>8000</v>
      </c>
      <c r="AA165" s="272">
        <v>0</v>
      </c>
      <c r="AB165" s="272">
        <v>15082.53032</v>
      </c>
      <c r="AD165" s="272">
        <v>62471.876539999997</v>
      </c>
      <c r="AE165" s="157">
        <v>34499.633529999999</v>
      </c>
      <c r="AF165" s="184">
        <v>-14330.946240000001</v>
      </c>
      <c r="AG165" s="272">
        <v>-36049.222729999994</v>
      </c>
      <c r="AH165" s="272">
        <v>1023.0980999999999</v>
      </c>
      <c r="AI165" s="184">
        <v>23587.422489999997</v>
      </c>
      <c r="AJ165" s="272">
        <v>27748.909159999999</v>
      </c>
      <c r="AL165" s="272">
        <v>194195.18935</v>
      </c>
      <c r="AM165" s="184">
        <v>-7.7</v>
      </c>
      <c r="AN165" s="272">
        <v>-33724.918250000002</v>
      </c>
      <c r="AO165" s="343">
        <v>45048</v>
      </c>
      <c r="AP165" s="332">
        <v>7.5</v>
      </c>
      <c r="AQ165" s="448"/>
      <c r="AS165" s="455">
        <v>34916.00578</v>
      </c>
      <c r="AT165" s="272">
        <v>145559.59397999998</v>
      </c>
      <c r="AU165" s="450"/>
      <c r="AV165" s="334">
        <v>89018.185629999993</v>
      </c>
      <c r="AW165" s="334">
        <v>7170.31232</v>
      </c>
      <c r="AX165" s="334">
        <v>14292.731750000001</v>
      </c>
      <c r="AY165" s="334">
        <v>110481.2297</v>
      </c>
      <c r="AZ165" s="334">
        <v>30632.379000000001</v>
      </c>
      <c r="BA165" s="272">
        <v>120.53434</v>
      </c>
      <c r="BB165" s="333">
        <v>3099.7350999999999</v>
      </c>
      <c r="BC165" s="272">
        <v>3416.86598</v>
      </c>
      <c r="BD165" s="272">
        <v>5.0132599999999998</v>
      </c>
      <c r="BE165" s="334">
        <v>32171.486140000001</v>
      </c>
      <c r="BG165" s="331">
        <v>26936.024510000003</v>
      </c>
      <c r="BH165" s="331">
        <v>0</v>
      </c>
      <c r="BI165" s="331">
        <v>0</v>
      </c>
      <c r="BJ165" s="334">
        <v>5235.4616299999998</v>
      </c>
      <c r="BK165" s="334">
        <v>-12.5</v>
      </c>
      <c r="BL165" s="331">
        <v>0</v>
      </c>
      <c r="BM165" s="331">
        <v>0</v>
      </c>
      <c r="BN165" s="334">
        <v>5247.9616299999998</v>
      </c>
      <c r="BP165" s="334">
        <v>68403.148799999995</v>
      </c>
      <c r="BQ165" s="311">
        <v>27176.401710000002</v>
      </c>
      <c r="BR165" s="272">
        <v>-4995.0844299999999</v>
      </c>
      <c r="BS165" s="461">
        <v>-38176.546619999994</v>
      </c>
      <c r="BT165" s="272">
        <v>1023.6089599999999</v>
      </c>
      <c r="BU165" s="272">
        <v>5465.3195599999999</v>
      </c>
      <c r="BV165" s="333">
        <v>32450.528979999999</v>
      </c>
      <c r="BX165" s="272">
        <v>198672.93721999999</v>
      </c>
      <c r="BY165" s="469">
        <v>-67.494759999999999</v>
      </c>
      <c r="BZ165" s="469">
        <v>4477.7478700000001</v>
      </c>
      <c r="CA165" s="552"/>
      <c r="CB165" s="335">
        <v>7.5</v>
      </c>
      <c r="CC165" s="471">
        <f t="shared" si="2"/>
        <v>7.5</v>
      </c>
      <c r="CD165" s="558"/>
      <c r="CE165" s="272"/>
      <c r="CF165" s="262"/>
      <c r="CI165" s="158">
        <v>0</v>
      </c>
      <c r="CJ165" s="331">
        <v>33464.897217255319</v>
      </c>
      <c r="CK165" s="331">
        <v>33869.557451682791</v>
      </c>
      <c r="CL165" s="331">
        <v>33515.387079858599</v>
      </c>
      <c r="CM165" s="472">
        <v>36488.580273788102</v>
      </c>
      <c r="CN165" s="472">
        <v>37312.689473165199</v>
      </c>
      <c r="CO165" s="480">
        <v>-7856.1620000000003</v>
      </c>
      <c r="CP165" s="557"/>
      <c r="CQ165" s="474">
        <v>537.86031000000003</v>
      </c>
      <c r="CR165" s="474">
        <v>1268.81368</v>
      </c>
    </row>
    <row r="166" spans="1:96" x14ac:dyDescent="0.2">
      <c r="A166" s="154">
        <v>545</v>
      </c>
      <c r="B166" s="156" t="s">
        <v>195</v>
      </c>
      <c r="C166" s="325">
        <v>9621</v>
      </c>
      <c r="D166" s="270">
        <v>8.36</v>
      </c>
      <c r="E166" s="185"/>
      <c r="G166" s="272">
        <v>10104.91526</v>
      </c>
      <c r="H166" s="272">
        <v>38194.986779999999</v>
      </c>
      <c r="I166" s="272"/>
      <c r="J166" s="272">
        <v>15162.13609</v>
      </c>
      <c r="K166" s="272">
        <v>3152.7173299999999</v>
      </c>
      <c r="L166" s="272">
        <v>4615.4677899999997</v>
      </c>
      <c r="M166" s="272">
        <v>22930.321210000002</v>
      </c>
      <c r="N166" s="272">
        <v>16113.304</v>
      </c>
      <c r="O166" s="272">
        <v>58.905379999999994</v>
      </c>
      <c r="P166" s="272">
        <v>929.63463000000002</v>
      </c>
      <c r="Q166" s="272">
        <v>658.5764200000001</v>
      </c>
      <c r="R166" s="272">
        <v>0.79124000000000005</v>
      </c>
      <c r="S166" s="272">
        <v>10740.609619999999</v>
      </c>
      <c r="U166" s="272">
        <v>4822.6412499999997</v>
      </c>
      <c r="V166" s="272">
        <v>0</v>
      </c>
      <c r="W166" s="272">
        <v>0</v>
      </c>
      <c r="X166" s="272">
        <v>5917.9683700000005</v>
      </c>
      <c r="Y166" s="272">
        <v>2196.1719600000001</v>
      </c>
      <c r="Z166" s="272">
        <v>-2000</v>
      </c>
      <c r="AA166" s="272">
        <v>3000</v>
      </c>
      <c r="AB166" s="272">
        <v>2721.7964099999999</v>
      </c>
      <c r="AD166" s="272">
        <v>22127.25864</v>
      </c>
      <c r="AE166" s="157">
        <v>10654.46614</v>
      </c>
      <c r="AF166" s="184">
        <v>-86.143479999999997</v>
      </c>
      <c r="AG166" s="272">
        <v>-10675.445400000001</v>
      </c>
      <c r="AH166" s="272">
        <v>238.04870000000003</v>
      </c>
      <c r="AI166" s="184">
        <v>205.82688000000002</v>
      </c>
      <c r="AJ166" s="272">
        <v>24431.017090000001</v>
      </c>
      <c r="AL166" s="272">
        <v>47411.674010000002</v>
      </c>
      <c r="AM166" s="184">
        <v>50.572629999999997</v>
      </c>
      <c r="AN166" s="272">
        <v>60.99689</v>
      </c>
      <c r="AO166" s="343">
        <v>9554</v>
      </c>
      <c r="AP166" s="332">
        <v>8.4</v>
      </c>
      <c r="AQ166" s="448"/>
      <c r="AS166" s="455">
        <v>8917.8603599999988</v>
      </c>
      <c r="AT166" s="272">
        <v>38732.035100000001</v>
      </c>
      <c r="AU166" s="450"/>
      <c r="AV166" s="334">
        <v>15150.99473</v>
      </c>
      <c r="AW166" s="334">
        <v>2584.2887599999999</v>
      </c>
      <c r="AX166" s="334">
        <v>6350.7548799999995</v>
      </c>
      <c r="AY166" s="334">
        <v>24086.038370000002</v>
      </c>
      <c r="AZ166" s="334">
        <v>16923.830999999998</v>
      </c>
      <c r="BA166" s="272">
        <v>56.818589999999993</v>
      </c>
      <c r="BB166" s="333">
        <v>974.11500000000001</v>
      </c>
      <c r="BC166" s="272">
        <v>466.32637</v>
      </c>
      <c r="BD166" s="272">
        <v>324.00574</v>
      </c>
      <c r="BE166" s="334">
        <v>10420.718849999999</v>
      </c>
      <c r="BG166" s="331">
        <v>5144.4893200000006</v>
      </c>
      <c r="BH166" s="331">
        <v>0</v>
      </c>
      <c r="BI166" s="331">
        <v>0</v>
      </c>
      <c r="BJ166" s="334">
        <v>5276.2295300000005</v>
      </c>
      <c r="BK166" s="334">
        <v>-1013.92251</v>
      </c>
      <c r="BL166" s="331">
        <v>0</v>
      </c>
      <c r="BM166" s="331">
        <v>0</v>
      </c>
      <c r="BN166" s="334">
        <v>6290.1520499999997</v>
      </c>
      <c r="BP166" s="334">
        <v>28417.410690000001</v>
      </c>
      <c r="BQ166" s="311">
        <v>10394.99775</v>
      </c>
      <c r="BR166" s="272">
        <v>-25.7211</v>
      </c>
      <c r="BS166" s="461">
        <v>-7468.8119000000006</v>
      </c>
      <c r="BT166" s="272">
        <v>28.5</v>
      </c>
      <c r="BU166" s="272">
        <v>31.581</v>
      </c>
      <c r="BV166" s="333">
        <v>23290.31552</v>
      </c>
      <c r="BX166" s="272">
        <v>43789.489959999999</v>
      </c>
      <c r="BY166" s="469">
        <v>0</v>
      </c>
      <c r="BZ166" s="469">
        <v>-3622.1840499999998</v>
      </c>
      <c r="CA166" s="552"/>
      <c r="CB166" s="335">
        <v>8.4</v>
      </c>
      <c r="CC166" s="471">
        <f t="shared" si="2"/>
        <v>8.4</v>
      </c>
      <c r="CD166" s="558"/>
      <c r="CE166" s="272"/>
      <c r="CF166" s="262"/>
      <c r="CI166" s="158">
        <v>0</v>
      </c>
      <c r="CJ166" s="331">
        <v>18195.312911067416</v>
      </c>
      <c r="CK166" s="331">
        <v>18963.258074544879</v>
      </c>
      <c r="CL166" s="331">
        <v>19400.383243539483</v>
      </c>
      <c r="CM166" s="472">
        <v>20931.720089937709</v>
      </c>
      <c r="CN166" s="472">
        <v>21832.914173046353</v>
      </c>
      <c r="CO166" s="480">
        <v>714.07799999999997</v>
      </c>
      <c r="CP166" s="557"/>
      <c r="CQ166" s="474">
        <v>0</v>
      </c>
      <c r="CR166" s="474">
        <v>0</v>
      </c>
    </row>
    <row r="167" spans="1:96" x14ac:dyDescent="0.2">
      <c r="A167" s="265">
        <v>560</v>
      </c>
      <c r="B167" s="262" t="s">
        <v>196</v>
      </c>
      <c r="C167" s="325">
        <v>15669</v>
      </c>
      <c r="D167" s="270">
        <v>8.61</v>
      </c>
      <c r="E167" s="311"/>
      <c r="F167" s="310"/>
      <c r="G167" s="272">
        <v>9180.3210500000005</v>
      </c>
      <c r="H167" s="272">
        <v>50266.613140000001</v>
      </c>
      <c r="I167" s="272"/>
      <c r="J167" s="272">
        <v>28015.626629999999</v>
      </c>
      <c r="K167" s="272">
        <v>2853.4095299999999</v>
      </c>
      <c r="L167" s="272">
        <v>4694.6601900000005</v>
      </c>
      <c r="M167" s="272">
        <v>35563.696349999998</v>
      </c>
      <c r="N167" s="272">
        <v>13607.596</v>
      </c>
      <c r="O167" s="272">
        <v>663.18808000000001</v>
      </c>
      <c r="P167" s="272">
        <v>928.28985999999998</v>
      </c>
      <c r="Q167" s="272">
        <v>726.94461999999999</v>
      </c>
      <c r="R167" s="272">
        <v>21.949870000000001</v>
      </c>
      <c r="S167" s="272">
        <v>8524.8932299999997</v>
      </c>
      <c r="T167" s="310"/>
      <c r="U167" s="272">
        <v>8375.0962099999997</v>
      </c>
      <c r="V167" s="272">
        <v>0</v>
      </c>
      <c r="W167" s="272">
        <v>0</v>
      </c>
      <c r="X167" s="272">
        <v>149.79702</v>
      </c>
      <c r="Y167" s="272">
        <v>-103.20753000000001</v>
      </c>
      <c r="Z167" s="272">
        <v>0</v>
      </c>
      <c r="AA167" s="272">
        <v>0</v>
      </c>
      <c r="AB167" s="272">
        <v>253.00454999999999</v>
      </c>
      <c r="AC167" s="310"/>
      <c r="AD167" s="272">
        <v>11201.60987</v>
      </c>
      <c r="AE167" s="462">
        <v>8352.0318399999996</v>
      </c>
      <c r="AF167" s="333">
        <v>-172.86139</v>
      </c>
      <c r="AG167" s="272">
        <v>-13210.005279999999</v>
      </c>
      <c r="AH167" s="272">
        <v>264.11</v>
      </c>
      <c r="AI167" s="333">
        <v>8350.6458899999998</v>
      </c>
      <c r="AJ167" s="272">
        <v>5108.6026400000001</v>
      </c>
      <c r="AK167" s="310"/>
      <c r="AL167" s="272">
        <v>68894.765469999998</v>
      </c>
      <c r="AM167" s="333">
        <v>-477.19671</v>
      </c>
      <c r="AN167" s="272">
        <v>-3436.8589900000002</v>
      </c>
      <c r="AO167" s="343">
        <v>15651</v>
      </c>
      <c r="AP167" s="332">
        <v>8.6999999999999993</v>
      </c>
      <c r="AQ167" s="446"/>
      <c r="AR167" s="452"/>
      <c r="AS167" s="455">
        <v>10630.5726</v>
      </c>
      <c r="AT167" s="272">
        <v>49855.829189999997</v>
      </c>
      <c r="AU167" s="451"/>
      <c r="AV167" s="333">
        <v>27342.780010000002</v>
      </c>
      <c r="AW167" s="333">
        <v>2292.9910800000002</v>
      </c>
      <c r="AX167" s="333">
        <v>4748.3968700000005</v>
      </c>
      <c r="AY167" s="333">
        <v>34384.167959999999</v>
      </c>
      <c r="AZ167" s="333">
        <v>11450.223</v>
      </c>
      <c r="BA167" s="333">
        <v>801.37917000000004</v>
      </c>
      <c r="BB167" s="333">
        <v>1142.4207699999999</v>
      </c>
      <c r="BC167" s="333">
        <v>2103.4513299999999</v>
      </c>
      <c r="BD167" s="333">
        <v>4.1659799999999994</v>
      </c>
      <c r="BE167" s="333">
        <v>8420.28766</v>
      </c>
      <c r="BF167" s="452"/>
      <c r="BG167" s="333">
        <v>8429.8616500000007</v>
      </c>
      <c r="BH167" s="333">
        <v>0</v>
      </c>
      <c r="BI167" s="333">
        <v>0</v>
      </c>
      <c r="BJ167" s="333">
        <v>-9.5739900000000002</v>
      </c>
      <c r="BK167" s="333">
        <v>2863.1399200000001</v>
      </c>
      <c r="BL167" s="333">
        <v>-3000</v>
      </c>
      <c r="BM167" s="333">
        <v>0</v>
      </c>
      <c r="BN167" s="333">
        <v>127.28609</v>
      </c>
      <c r="BO167" s="452"/>
      <c r="BP167" s="333">
        <v>11328.89596</v>
      </c>
      <c r="BQ167" s="462">
        <v>8032.6994400000003</v>
      </c>
      <c r="BR167" s="333">
        <v>-387.58821999999998</v>
      </c>
      <c r="BS167" s="333">
        <v>-4700.7585300000001</v>
      </c>
      <c r="BT167" s="333">
        <v>179.07599999999999</v>
      </c>
      <c r="BU167" s="333">
        <v>529.38175000000001</v>
      </c>
      <c r="BV167" s="333">
        <v>6391.2361000000001</v>
      </c>
      <c r="BW167" s="452"/>
      <c r="BX167" s="333">
        <v>67268.459319999994</v>
      </c>
      <c r="BY167" s="469">
        <v>-140.47246999999999</v>
      </c>
      <c r="BZ167" s="469">
        <v>-1626.3061499999999</v>
      </c>
      <c r="CA167" s="452"/>
      <c r="CB167" s="335">
        <v>8.6999999999999993</v>
      </c>
      <c r="CC167" s="471">
        <f t="shared" si="2"/>
        <v>8.6999999999999993</v>
      </c>
      <c r="CD167" s="558"/>
      <c r="CE167" s="272"/>
      <c r="CF167" s="262"/>
      <c r="CG167" s="310"/>
      <c r="CH167" s="310"/>
      <c r="CI167" s="310">
        <v>0</v>
      </c>
      <c r="CJ167" s="333">
        <v>13144.842281824967</v>
      </c>
      <c r="CK167" s="333">
        <v>12936.958724453802</v>
      </c>
      <c r="CL167" s="331">
        <v>14156.032304187022</v>
      </c>
      <c r="CM167" s="472">
        <v>15143.525778406951</v>
      </c>
      <c r="CN167" s="472">
        <v>15543.983132155692</v>
      </c>
      <c r="CO167" s="480">
        <v>-1416.002</v>
      </c>
      <c r="CP167" s="557"/>
      <c r="CQ167" s="474">
        <v>0</v>
      </c>
      <c r="CR167" s="474">
        <v>52.90954</v>
      </c>
    </row>
    <row r="168" spans="1:96" x14ac:dyDescent="0.2">
      <c r="A168" s="154">
        <v>561</v>
      </c>
      <c r="B168" s="156" t="s">
        <v>197</v>
      </c>
      <c r="C168" s="325">
        <v>1315</v>
      </c>
      <c r="D168" s="270">
        <v>8.36</v>
      </c>
      <c r="E168" s="185"/>
      <c r="G168" s="272">
        <v>1153.97282</v>
      </c>
      <c r="H168" s="272">
        <v>5285.29025</v>
      </c>
      <c r="I168" s="272"/>
      <c r="J168" s="272">
        <v>2060.80044</v>
      </c>
      <c r="K168" s="272">
        <v>535.27705000000003</v>
      </c>
      <c r="L168" s="272">
        <v>378.58326</v>
      </c>
      <c r="M168" s="272">
        <v>2974.66075</v>
      </c>
      <c r="N168" s="272">
        <v>1806.799</v>
      </c>
      <c r="O168" s="272">
        <v>0</v>
      </c>
      <c r="P168" s="272">
        <v>105.79930999999999</v>
      </c>
      <c r="Q168" s="272">
        <v>2.3832100000000001</v>
      </c>
      <c r="R168" s="272">
        <v>7.5</v>
      </c>
      <c r="S168" s="272">
        <v>539.22622000000001</v>
      </c>
      <c r="U168" s="272">
        <v>485.63718999999998</v>
      </c>
      <c r="V168" s="272">
        <v>350</v>
      </c>
      <c r="W168" s="272">
        <v>0</v>
      </c>
      <c r="X168" s="272">
        <v>403.58903000000004</v>
      </c>
      <c r="Y168" s="272">
        <v>-15.13692</v>
      </c>
      <c r="Z168" s="272">
        <v>0</v>
      </c>
      <c r="AA168" s="272">
        <v>0</v>
      </c>
      <c r="AB168" s="272">
        <v>418.72595000000001</v>
      </c>
      <c r="AD168" s="272">
        <v>1182.3957300000002</v>
      </c>
      <c r="AE168" s="157">
        <v>889.56295</v>
      </c>
      <c r="AF168" s="184">
        <v>0.33673000000000003</v>
      </c>
      <c r="AG168" s="272">
        <v>-505.77987000000002</v>
      </c>
      <c r="AH168" s="272">
        <v>0</v>
      </c>
      <c r="AI168" s="184">
        <v>0.6</v>
      </c>
      <c r="AJ168" s="272">
        <v>13.255459999999999</v>
      </c>
      <c r="AL168" s="272">
        <v>2808.8561200000004</v>
      </c>
      <c r="AM168" s="184">
        <v>0</v>
      </c>
      <c r="AN168" s="272">
        <v>-20.482959999999999</v>
      </c>
      <c r="AO168" s="343">
        <v>1304</v>
      </c>
      <c r="AP168" s="332">
        <v>8.4</v>
      </c>
      <c r="AQ168" s="448"/>
      <c r="AS168" s="455">
        <v>1317.8793999999998</v>
      </c>
      <c r="AT168" s="272">
        <v>5477.1073200000001</v>
      </c>
      <c r="AU168" s="450"/>
      <c r="AV168" s="334">
        <v>2085.6663799999997</v>
      </c>
      <c r="AW168" s="334">
        <v>380.71695</v>
      </c>
      <c r="AX168" s="334">
        <v>566.64164000000005</v>
      </c>
      <c r="AY168" s="334">
        <v>3033.0249700000004</v>
      </c>
      <c r="AZ168" s="334">
        <v>1808.15</v>
      </c>
      <c r="BA168" s="272">
        <v>0</v>
      </c>
      <c r="BB168" s="333">
        <v>112.77705</v>
      </c>
      <c r="BC168" s="272">
        <v>4.3483999999999998</v>
      </c>
      <c r="BD168" s="272">
        <v>9.5025700000000004</v>
      </c>
      <c r="BE168" s="334">
        <v>564.01582999999994</v>
      </c>
      <c r="BG168" s="331">
        <v>417.65156999999999</v>
      </c>
      <c r="BH168" s="331">
        <v>0</v>
      </c>
      <c r="BI168" s="331">
        <v>0</v>
      </c>
      <c r="BJ168" s="334">
        <v>146.36426</v>
      </c>
      <c r="BK168" s="331">
        <v>-15.13692</v>
      </c>
      <c r="BL168" s="331">
        <v>0</v>
      </c>
      <c r="BM168" s="331">
        <v>0</v>
      </c>
      <c r="BN168" s="334">
        <v>161.50118000000001</v>
      </c>
      <c r="BP168" s="334">
        <v>1203.7070100000001</v>
      </c>
      <c r="BQ168" s="311">
        <v>564.01582999999994</v>
      </c>
      <c r="BR168" s="272">
        <v>0</v>
      </c>
      <c r="BS168" s="461">
        <v>-530.65665999999999</v>
      </c>
      <c r="BT168" s="272">
        <v>0</v>
      </c>
      <c r="BU168" s="272">
        <v>0</v>
      </c>
      <c r="BV168" s="333">
        <v>390.05528999999996</v>
      </c>
      <c r="BX168" s="272">
        <v>2632.5659999999998</v>
      </c>
      <c r="BY168" s="469">
        <v>0</v>
      </c>
      <c r="BZ168" s="469">
        <v>-176.29012</v>
      </c>
      <c r="CA168" s="552"/>
      <c r="CB168" s="335">
        <v>8.4</v>
      </c>
      <c r="CC168" s="471">
        <f t="shared" si="2"/>
        <v>8.4</v>
      </c>
      <c r="CD168" s="559"/>
      <c r="CE168" s="272"/>
      <c r="CF168" s="262"/>
      <c r="CI168" s="158">
        <v>0</v>
      </c>
      <c r="CJ168" s="331">
        <v>2003.5390643628518</v>
      </c>
      <c r="CK168" s="331">
        <v>1873.6700657597737</v>
      </c>
      <c r="CL168" s="331">
        <v>2011.4101923589585</v>
      </c>
      <c r="CM168" s="472">
        <v>2051.2360409688681</v>
      </c>
      <c r="CN168" s="472">
        <v>2161.4384555891056</v>
      </c>
      <c r="CO168" s="480">
        <v>-250.21100000000001</v>
      </c>
      <c r="CP168" s="557"/>
      <c r="CQ168" s="474">
        <v>0</v>
      </c>
      <c r="CR168" s="474">
        <v>0</v>
      </c>
    </row>
    <row r="169" spans="1:96" x14ac:dyDescent="0.2">
      <c r="A169" s="154">
        <v>562</v>
      </c>
      <c r="B169" s="156" t="s">
        <v>198</v>
      </c>
      <c r="C169" s="325">
        <v>8839</v>
      </c>
      <c r="D169" s="270">
        <v>9.36</v>
      </c>
      <c r="E169" s="185"/>
      <c r="G169" s="272">
        <v>6276.5226500000008</v>
      </c>
      <c r="H169" s="272">
        <v>28970.025699999998</v>
      </c>
      <c r="I169" s="272"/>
      <c r="J169" s="272">
        <v>16796.60455</v>
      </c>
      <c r="K169" s="272">
        <v>1902.1927800000001</v>
      </c>
      <c r="L169" s="272">
        <v>3167.32323</v>
      </c>
      <c r="M169" s="272">
        <v>21866.120559999999</v>
      </c>
      <c r="N169" s="272">
        <v>5528.7569999999996</v>
      </c>
      <c r="O169" s="272">
        <v>209.07285000000002</v>
      </c>
      <c r="P169" s="272">
        <v>525.24580000000003</v>
      </c>
      <c r="Q169" s="272">
        <v>268.25655999999998</v>
      </c>
      <c r="R169" s="272">
        <v>2.4650400000000001</v>
      </c>
      <c r="S169" s="272">
        <v>4675.1730800000005</v>
      </c>
      <c r="U169" s="272">
        <v>3140.09483</v>
      </c>
      <c r="V169" s="272">
        <v>0</v>
      </c>
      <c r="W169" s="272">
        <v>0</v>
      </c>
      <c r="X169" s="272">
        <v>1535.07825</v>
      </c>
      <c r="Y169" s="272">
        <v>-76.34411999999999</v>
      </c>
      <c r="Z169" s="272">
        <v>0</v>
      </c>
      <c r="AA169" s="272">
        <v>0</v>
      </c>
      <c r="AB169" s="272">
        <v>1611.42237</v>
      </c>
      <c r="AD169" s="272">
        <v>8723.7861300000004</v>
      </c>
      <c r="AE169" s="157">
        <v>4597.7122300000001</v>
      </c>
      <c r="AF169" s="184">
        <v>-77.460850000000008</v>
      </c>
      <c r="AG169" s="272">
        <v>-5588.6600499999995</v>
      </c>
      <c r="AH169" s="272">
        <v>62.378349999999998</v>
      </c>
      <c r="AI169" s="184">
        <v>102.07917999999999</v>
      </c>
      <c r="AJ169" s="272">
        <v>3885.6935400000002</v>
      </c>
      <c r="AL169" s="272">
        <v>21199.135380000003</v>
      </c>
      <c r="AM169" s="184">
        <v>-638.71544999999992</v>
      </c>
      <c r="AN169" s="272">
        <v>2876.1865400000002</v>
      </c>
      <c r="AO169" s="343">
        <v>8869</v>
      </c>
      <c r="AP169" s="332">
        <v>9.4</v>
      </c>
      <c r="AQ169" s="448"/>
      <c r="AS169" s="455">
        <v>6601.5739299999996</v>
      </c>
      <c r="AT169" s="272">
        <v>30263.937539999999</v>
      </c>
      <c r="AU169" s="450"/>
      <c r="AV169" s="334">
        <v>16886.244129999999</v>
      </c>
      <c r="AW169" s="334">
        <v>1512.60724</v>
      </c>
      <c r="AX169" s="334">
        <v>3371.6181699999997</v>
      </c>
      <c r="AY169" s="334">
        <v>21770.469539999998</v>
      </c>
      <c r="AZ169" s="334">
        <v>5599.0709999999999</v>
      </c>
      <c r="BA169" s="272">
        <v>146.56333999999998</v>
      </c>
      <c r="BB169" s="333">
        <v>869.22738000000004</v>
      </c>
      <c r="BC169" s="272">
        <v>260.26724999999999</v>
      </c>
      <c r="BD169" s="272">
        <v>4.5780200000000004</v>
      </c>
      <c r="BE169" s="334">
        <v>3261.6521200000002</v>
      </c>
      <c r="BG169" s="331">
        <v>3594.91653</v>
      </c>
      <c r="BH169" s="331">
        <v>0</v>
      </c>
      <c r="BI169" s="331">
        <v>0</v>
      </c>
      <c r="BJ169" s="334">
        <v>-333.26441</v>
      </c>
      <c r="BK169" s="334">
        <v>-61.075300000000006</v>
      </c>
      <c r="BL169" s="331">
        <v>0</v>
      </c>
      <c r="BM169" s="331">
        <v>0</v>
      </c>
      <c r="BN169" s="334">
        <v>-272.18910999999997</v>
      </c>
      <c r="BP169" s="334">
        <v>8451.5970200000011</v>
      </c>
      <c r="BQ169" s="311">
        <v>3207.17463</v>
      </c>
      <c r="BR169" s="272">
        <v>-54.477489999999996</v>
      </c>
      <c r="BS169" s="461">
        <v>-4208.7295700000004</v>
      </c>
      <c r="BT169" s="272">
        <v>65</v>
      </c>
      <c r="BU169" s="272">
        <v>66.30380000000001</v>
      </c>
      <c r="BV169" s="333">
        <v>5157.4584299999997</v>
      </c>
      <c r="BX169" s="272">
        <v>23425.321920000002</v>
      </c>
      <c r="BY169" s="469">
        <v>40.736849999999997</v>
      </c>
      <c r="BZ169" s="469">
        <v>2226.1865400000002</v>
      </c>
      <c r="CA169" s="552"/>
      <c r="CB169" s="335">
        <v>9.4</v>
      </c>
      <c r="CC169" s="471">
        <f t="shared" si="2"/>
        <v>9.4</v>
      </c>
      <c r="CD169" s="558"/>
      <c r="CE169" s="272"/>
      <c r="CF169" s="262"/>
      <c r="CI169" s="158">
        <v>0</v>
      </c>
      <c r="CJ169" s="331">
        <v>5898.3053839499535</v>
      </c>
      <c r="CK169" s="331">
        <v>5910.0032754553722</v>
      </c>
      <c r="CL169" s="331">
        <v>6124.674835985471</v>
      </c>
      <c r="CM169" s="472">
        <v>6450.2004905702524</v>
      </c>
      <c r="CN169" s="472">
        <v>6638.5409747164404</v>
      </c>
      <c r="CO169" s="480">
        <v>-208.989</v>
      </c>
      <c r="CP169" s="557"/>
      <c r="CQ169" s="474">
        <v>24.18</v>
      </c>
      <c r="CR169" s="474">
        <v>21.45</v>
      </c>
    </row>
    <row r="170" spans="1:96" x14ac:dyDescent="0.2">
      <c r="A170" s="154">
        <v>563</v>
      </c>
      <c r="B170" s="156" t="s">
        <v>23</v>
      </c>
      <c r="C170" s="325">
        <v>6978</v>
      </c>
      <c r="D170" s="270">
        <v>9.36</v>
      </c>
      <c r="E170" s="185"/>
      <c r="G170" s="272">
        <v>6188.5046299999995</v>
      </c>
      <c r="H170" s="272">
        <v>27186.67425</v>
      </c>
      <c r="I170" s="272"/>
      <c r="J170" s="272">
        <v>12499.187169999999</v>
      </c>
      <c r="K170" s="272">
        <v>1673.3515300000001</v>
      </c>
      <c r="L170" s="272">
        <v>2235.4277999999999</v>
      </c>
      <c r="M170" s="272">
        <v>16407.966499999999</v>
      </c>
      <c r="N170" s="272">
        <v>7550.3810000000003</v>
      </c>
      <c r="O170" s="272">
        <v>216.42207000000002</v>
      </c>
      <c r="P170" s="272">
        <v>1182.24794</v>
      </c>
      <c r="Q170" s="272">
        <v>1571.0429999999999</v>
      </c>
      <c r="R170" s="272">
        <v>726.78026999999997</v>
      </c>
      <c r="S170" s="272">
        <v>2838.6147400000004</v>
      </c>
      <c r="U170" s="272">
        <v>2789.3515899999998</v>
      </c>
      <c r="V170" s="272">
        <v>0</v>
      </c>
      <c r="W170" s="272">
        <v>0</v>
      </c>
      <c r="X170" s="272">
        <v>49.263150000000003</v>
      </c>
      <c r="Y170" s="272">
        <v>-99.982559999999992</v>
      </c>
      <c r="Z170" s="272">
        <v>-249.6</v>
      </c>
      <c r="AA170" s="272">
        <v>0</v>
      </c>
      <c r="AB170" s="272">
        <v>398.84571</v>
      </c>
      <c r="AD170" s="272">
        <v>36.991280000000017</v>
      </c>
      <c r="AE170" s="157">
        <v>2847.9573100000002</v>
      </c>
      <c r="AF170" s="184">
        <v>9.3425700000000003</v>
      </c>
      <c r="AG170" s="272">
        <v>-3305.3958199999997</v>
      </c>
      <c r="AH170" s="272">
        <v>8.4</v>
      </c>
      <c r="AI170" s="184">
        <v>10.1355</v>
      </c>
      <c r="AJ170" s="272">
        <v>18508.80256</v>
      </c>
      <c r="AL170" s="272">
        <v>51867.173329999998</v>
      </c>
      <c r="AM170" s="184">
        <v>-12420</v>
      </c>
      <c r="AN170" s="272">
        <v>15093.73733</v>
      </c>
      <c r="AO170" s="343">
        <v>6912</v>
      </c>
      <c r="AP170" s="332">
        <v>10</v>
      </c>
      <c r="AQ170" s="448"/>
      <c r="AS170" s="455">
        <v>6386.1922999999997</v>
      </c>
      <c r="AT170" s="272">
        <v>25185.76829</v>
      </c>
      <c r="AU170" s="450"/>
      <c r="AV170" s="334">
        <v>12918.220439999999</v>
      </c>
      <c r="AW170" s="334">
        <v>1581.77757</v>
      </c>
      <c r="AX170" s="334">
        <v>2587.8844399999998</v>
      </c>
      <c r="AY170" s="334">
        <v>17087.882450000001</v>
      </c>
      <c r="AZ170" s="334">
        <v>5605.7110000000002</v>
      </c>
      <c r="BA170" s="272">
        <v>713.68037000000004</v>
      </c>
      <c r="BB170" s="333">
        <v>2196.8278700000001</v>
      </c>
      <c r="BC170" s="272">
        <v>2873.2934799999998</v>
      </c>
      <c r="BD170" s="272">
        <v>663.4971700000001</v>
      </c>
      <c r="BE170" s="334">
        <v>4620.6662699999997</v>
      </c>
      <c r="BG170" s="331">
        <v>3143.0622000000003</v>
      </c>
      <c r="BH170" s="331">
        <v>338.17642000000001</v>
      </c>
      <c r="BI170" s="331">
        <v>1000</v>
      </c>
      <c r="BJ170" s="334">
        <v>815.78048999999999</v>
      </c>
      <c r="BK170" s="334">
        <v>-99.982559999999992</v>
      </c>
      <c r="BL170" s="331">
        <v>0</v>
      </c>
      <c r="BM170" s="331">
        <v>0</v>
      </c>
      <c r="BN170" s="334">
        <v>915.76305000000002</v>
      </c>
      <c r="BP170" s="334">
        <v>952.7543300000001</v>
      </c>
      <c r="BQ170" s="311">
        <v>4922.31167</v>
      </c>
      <c r="BR170" s="272">
        <v>963.46897999999999</v>
      </c>
      <c r="BS170" s="461">
        <v>-1545.6218200000001</v>
      </c>
      <c r="BT170" s="272">
        <v>28.584</v>
      </c>
      <c r="BU170" s="272">
        <v>57.16648</v>
      </c>
      <c r="BV170" s="333">
        <v>21108.45837</v>
      </c>
      <c r="BX170" s="272">
        <v>57641.267790000005</v>
      </c>
      <c r="BY170" s="469">
        <v>-6210.2083300000004</v>
      </c>
      <c r="BZ170" s="469">
        <v>5774.0944600000003</v>
      </c>
      <c r="CA170" s="552"/>
      <c r="CB170" s="335">
        <v>10</v>
      </c>
      <c r="CC170" s="471">
        <f t="shared" si="2"/>
        <v>10</v>
      </c>
      <c r="CD170" s="558"/>
      <c r="CE170" s="272"/>
      <c r="CF170" s="262"/>
      <c r="CI170" s="158">
        <v>0</v>
      </c>
      <c r="CJ170" s="331">
        <v>5448.2432432764372</v>
      </c>
      <c r="CK170" s="331">
        <v>5292.0700953974265</v>
      </c>
      <c r="CL170" s="331">
        <v>5865.4593780166706</v>
      </c>
      <c r="CM170" s="472">
        <v>6468.8119595360522</v>
      </c>
      <c r="CN170" s="472">
        <v>6583.3659386584241</v>
      </c>
      <c r="CO170" s="480">
        <v>-226.40600000000001</v>
      </c>
      <c r="CP170" s="557"/>
      <c r="CQ170" s="474">
        <v>0</v>
      </c>
      <c r="CR170" s="474">
        <v>0</v>
      </c>
    </row>
    <row r="171" spans="1:96" x14ac:dyDescent="0.2">
      <c r="A171" s="154">
        <v>564</v>
      </c>
      <c r="B171" s="156" t="s">
        <v>199</v>
      </c>
      <c r="C171" s="325">
        <v>214633</v>
      </c>
      <c r="D171" s="270">
        <v>7.86</v>
      </c>
      <c r="E171" s="185"/>
      <c r="G171" s="272">
        <v>194640.00266</v>
      </c>
      <c r="H171" s="272">
        <v>786547.49427999998</v>
      </c>
      <c r="I171" s="272"/>
      <c r="J171" s="272">
        <v>404010.11468</v>
      </c>
      <c r="K171" s="272">
        <v>52067.903659999996</v>
      </c>
      <c r="L171" s="272">
        <v>68247.571089999998</v>
      </c>
      <c r="M171" s="272">
        <v>524325.58943000005</v>
      </c>
      <c r="N171" s="272">
        <v>119761.076</v>
      </c>
      <c r="O171" s="272">
        <v>10449.771500000001</v>
      </c>
      <c r="P171" s="272">
        <v>7311.6786900000006</v>
      </c>
      <c r="Q171" s="272">
        <v>18966.849329999997</v>
      </c>
      <c r="R171" s="272">
        <v>836.22620999999992</v>
      </c>
      <c r="S171" s="272">
        <v>99625.562290000002</v>
      </c>
      <c r="U171" s="272">
        <v>88081.335470000005</v>
      </c>
      <c r="V171" s="272">
        <v>0</v>
      </c>
      <c r="W171" s="272">
        <v>0</v>
      </c>
      <c r="X171" s="272">
        <v>11544.22682</v>
      </c>
      <c r="Y171" s="272">
        <v>-3043.39282</v>
      </c>
      <c r="Z171" s="272">
        <v>2000</v>
      </c>
      <c r="AA171" s="272">
        <v>0</v>
      </c>
      <c r="AB171" s="272">
        <v>12587.619640000001</v>
      </c>
      <c r="AD171" s="272">
        <v>1009471.52702</v>
      </c>
      <c r="AE171" s="157">
        <v>130279.69729000001</v>
      </c>
      <c r="AF171" s="184">
        <v>30654.134989999999</v>
      </c>
      <c r="AG171" s="272">
        <v>-182994.79959000001</v>
      </c>
      <c r="AH171" s="272">
        <v>5544.7818299999999</v>
      </c>
      <c r="AI171" s="184">
        <v>15403.51628</v>
      </c>
      <c r="AJ171" s="272">
        <v>314218.40954000002</v>
      </c>
      <c r="AL171" s="272">
        <v>667390.16024999996</v>
      </c>
      <c r="AM171" s="184">
        <v>2231.9856800000002</v>
      </c>
      <c r="AN171" s="272">
        <v>82954.241999999998</v>
      </c>
      <c r="AO171" s="343">
        <v>216152</v>
      </c>
      <c r="AP171" s="332">
        <v>7.9</v>
      </c>
      <c r="AQ171" s="448"/>
      <c r="AS171" s="455">
        <v>202098.69918999998</v>
      </c>
      <c r="AT171" s="272">
        <v>762267.82591000001</v>
      </c>
      <c r="AU171" s="450"/>
      <c r="AV171" s="334">
        <v>391826.41372000001</v>
      </c>
      <c r="AW171" s="334">
        <v>42726.51887</v>
      </c>
      <c r="AX171" s="334">
        <v>71237.304010000007</v>
      </c>
      <c r="AY171" s="334">
        <v>505790.2366</v>
      </c>
      <c r="AZ171" s="334">
        <v>116597.308</v>
      </c>
      <c r="BA171" s="272">
        <v>16014.838</v>
      </c>
      <c r="BB171" s="333">
        <v>16568.765149999999</v>
      </c>
      <c r="BC171" s="272">
        <v>17806.345350000003</v>
      </c>
      <c r="BD171" s="272">
        <v>307.70259999999996</v>
      </c>
      <c r="BE171" s="334">
        <v>96925.340849999993</v>
      </c>
      <c r="BG171" s="331">
        <v>91009.910380000001</v>
      </c>
      <c r="BH171" s="331">
        <v>0</v>
      </c>
      <c r="BI171" s="331">
        <v>0</v>
      </c>
      <c r="BJ171" s="334">
        <v>5915.4304699999993</v>
      </c>
      <c r="BK171" s="331">
        <v>-2652.3127899999999</v>
      </c>
      <c r="BL171" s="331">
        <v>2000</v>
      </c>
      <c r="BM171" s="334">
        <v>0</v>
      </c>
      <c r="BN171" s="334">
        <v>6567.7432600000002</v>
      </c>
      <c r="BP171" s="334">
        <v>1016039.2702799999</v>
      </c>
      <c r="BQ171" s="311">
        <v>88957.51681999999</v>
      </c>
      <c r="BR171" s="272">
        <v>-7967.8240300000007</v>
      </c>
      <c r="BS171" s="461">
        <v>-199206.08971</v>
      </c>
      <c r="BT171" s="272">
        <v>3355.3783900000003</v>
      </c>
      <c r="BU171" s="272">
        <v>23610.25879</v>
      </c>
      <c r="BV171" s="333">
        <v>253935.42952000001</v>
      </c>
      <c r="BX171" s="272">
        <v>677581.71743000008</v>
      </c>
      <c r="BY171" s="469">
        <v>2349.7843199999998</v>
      </c>
      <c r="BZ171" s="469">
        <v>10191.55718</v>
      </c>
      <c r="CA171" s="552"/>
      <c r="CB171" s="335">
        <v>8.1</v>
      </c>
      <c r="CC171" s="471">
        <f t="shared" si="2"/>
        <v>8.1</v>
      </c>
      <c r="CD171" s="558"/>
      <c r="CE171" s="272"/>
      <c r="CF171" s="262"/>
      <c r="CI171" s="158">
        <v>0</v>
      </c>
      <c r="CJ171" s="331">
        <v>140395.17085951872</v>
      </c>
      <c r="CK171" s="331">
        <v>147615.55048214682</v>
      </c>
      <c r="CL171" s="331">
        <v>139663.20542943792</v>
      </c>
      <c r="CM171" s="472">
        <v>152698.47870062498</v>
      </c>
      <c r="CN171" s="472">
        <v>153796.86051375273</v>
      </c>
      <c r="CO171" s="480">
        <v>4520.7389999999996</v>
      </c>
      <c r="CP171" s="557"/>
      <c r="CQ171" s="474">
        <v>26177.672549999999</v>
      </c>
      <c r="CR171" s="474">
        <v>17762.20737</v>
      </c>
    </row>
    <row r="172" spans="1:96" x14ac:dyDescent="0.2">
      <c r="A172" s="154">
        <v>309</v>
      </c>
      <c r="B172" s="156" t="s">
        <v>200</v>
      </c>
      <c r="C172" s="325">
        <v>6409</v>
      </c>
      <c r="D172" s="270">
        <v>8.86</v>
      </c>
      <c r="E172" s="185"/>
      <c r="G172" s="272">
        <v>7024.7405599999993</v>
      </c>
      <c r="H172" s="272">
        <v>21843.189879999998</v>
      </c>
      <c r="I172" s="272"/>
      <c r="J172" s="272">
        <v>10044.136490000001</v>
      </c>
      <c r="K172" s="272">
        <v>1073.29493</v>
      </c>
      <c r="L172" s="272">
        <v>1666.14076</v>
      </c>
      <c r="M172" s="272">
        <v>12783.572179999999</v>
      </c>
      <c r="N172" s="272">
        <v>4462.1639999999998</v>
      </c>
      <c r="O172" s="272">
        <v>279.17500999999999</v>
      </c>
      <c r="P172" s="272">
        <v>479.02087</v>
      </c>
      <c r="Q172" s="272">
        <v>4220.0106699999997</v>
      </c>
      <c r="R172" s="272">
        <v>2606.0407799999998</v>
      </c>
      <c r="S172" s="272">
        <v>3841.4108900000001</v>
      </c>
      <c r="U172" s="272">
        <v>2412.8981699999999</v>
      </c>
      <c r="V172" s="272">
        <v>0</v>
      </c>
      <c r="W172" s="272">
        <v>0</v>
      </c>
      <c r="X172" s="272">
        <v>1428.5127199999999</v>
      </c>
      <c r="Y172" s="272">
        <v>-47.182989999999997</v>
      </c>
      <c r="Z172" s="272">
        <v>0</v>
      </c>
      <c r="AA172" s="272">
        <v>29.238939999999999</v>
      </c>
      <c r="AB172" s="272">
        <v>1446.45677</v>
      </c>
      <c r="AD172" s="272">
        <v>11329.17181</v>
      </c>
      <c r="AE172" s="157">
        <v>2479.5032099999999</v>
      </c>
      <c r="AF172" s="184">
        <v>-1361.90768</v>
      </c>
      <c r="AG172" s="272">
        <v>-6076.4086399999997</v>
      </c>
      <c r="AH172" s="272">
        <v>247.37657000000002</v>
      </c>
      <c r="AI172" s="184">
        <v>19.825599999999998</v>
      </c>
      <c r="AJ172" s="272">
        <v>60521.105990000004</v>
      </c>
      <c r="AL172" s="272">
        <v>20554.91057</v>
      </c>
      <c r="AM172" s="184">
        <v>-1277.4870700000001</v>
      </c>
      <c r="AN172" s="272">
        <v>8165.3527699999995</v>
      </c>
      <c r="AO172" s="343">
        <v>6444</v>
      </c>
      <c r="AP172" s="332">
        <v>8.9</v>
      </c>
      <c r="AQ172" s="448"/>
      <c r="AS172" s="455">
        <v>6762.6303099999996</v>
      </c>
      <c r="AT172" s="272">
        <v>21110.764760000002</v>
      </c>
      <c r="AU172" s="450"/>
      <c r="AV172" s="334">
        <v>9896.927810000001</v>
      </c>
      <c r="AW172" s="334">
        <v>976.61275999999998</v>
      </c>
      <c r="AX172" s="334">
        <v>1708.3983400000002</v>
      </c>
      <c r="AY172" s="334">
        <v>12581.938910000001</v>
      </c>
      <c r="AZ172" s="334">
        <v>2838.6210000000001</v>
      </c>
      <c r="BA172" s="272">
        <v>316.56278000000003</v>
      </c>
      <c r="BB172" s="333">
        <v>801.90092000000004</v>
      </c>
      <c r="BC172" s="272">
        <v>4000.0543700000003</v>
      </c>
      <c r="BD172" s="272">
        <v>555.01301999999998</v>
      </c>
      <c r="BE172" s="334">
        <v>4032.1286700000001</v>
      </c>
      <c r="BG172" s="331">
        <v>2208.36625</v>
      </c>
      <c r="BH172" s="331">
        <v>0</v>
      </c>
      <c r="BI172" s="331">
        <v>1004.66017</v>
      </c>
      <c r="BJ172" s="334">
        <v>819.10225000000003</v>
      </c>
      <c r="BK172" s="334">
        <v>8401.41129</v>
      </c>
      <c r="BL172" s="334">
        <v>-8500</v>
      </c>
      <c r="BM172" s="334">
        <v>13.774049999999999</v>
      </c>
      <c r="BN172" s="334">
        <v>903.91691000000003</v>
      </c>
      <c r="BP172" s="334">
        <v>12233.088720000002</v>
      </c>
      <c r="BQ172" s="311">
        <v>2871.2244999999998</v>
      </c>
      <c r="BR172" s="272">
        <v>-156.244</v>
      </c>
      <c r="BS172" s="461">
        <v>-8518.0484099999994</v>
      </c>
      <c r="BT172" s="272">
        <v>3.6</v>
      </c>
      <c r="BU172" s="272">
        <v>12.5</v>
      </c>
      <c r="BV172" s="333">
        <v>62480.250200000002</v>
      </c>
      <c r="BX172" s="272">
        <v>28639.689170000001</v>
      </c>
      <c r="BY172" s="469">
        <v>-106.83811</v>
      </c>
      <c r="BZ172" s="469">
        <v>8084.7785999999996</v>
      </c>
      <c r="CA172" s="552"/>
      <c r="CB172" s="335">
        <v>8.9</v>
      </c>
      <c r="CC172" s="471">
        <f t="shared" si="2"/>
        <v>8.9</v>
      </c>
      <c r="CD172" s="558"/>
      <c r="CE172" s="272"/>
      <c r="CF172" s="262"/>
      <c r="CI172" s="158">
        <v>1000</v>
      </c>
      <c r="CJ172" s="331">
        <v>5038.6000149664951</v>
      </c>
      <c r="CK172" s="331">
        <v>5309.0738691987472</v>
      </c>
      <c r="CL172" s="331">
        <v>5221.2001270877481</v>
      </c>
      <c r="CM172" s="472">
        <v>5490.0897085489887</v>
      </c>
      <c r="CN172" s="472">
        <v>5438.081314369053</v>
      </c>
      <c r="CO172" s="480">
        <v>476.64299999999997</v>
      </c>
      <c r="CP172" s="557"/>
      <c r="CQ172" s="474">
        <v>0</v>
      </c>
      <c r="CR172" s="474">
        <v>0</v>
      </c>
    </row>
    <row r="173" spans="1:96" x14ac:dyDescent="0.2">
      <c r="A173" s="154">
        <v>576</v>
      </c>
      <c r="B173" s="156" t="s">
        <v>201</v>
      </c>
      <c r="C173" s="325">
        <v>2726</v>
      </c>
      <c r="D173" s="270">
        <v>8.36</v>
      </c>
      <c r="E173" s="185"/>
      <c r="G173" s="272">
        <v>2823.27405</v>
      </c>
      <c r="H173" s="272">
        <v>9859.0291199999992</v>
      </c>
      <c r="I173" s="272"/>
      <c r="J173" s="272">
        <v>3674.57519</v>
      </c>
      <c r="K173" s="272">
        <v>993.56795999999997</v>
      </c>
      <c r="L173" s="272">
        <v>1590.32367</v>
      </c>
      <c r="M173" s="272">
        <v>6258.4668200000006</v>
      </c>
      <c r="N173" s="272">
        <v>2000.742</v>
      </c>
      <c r="O173" s="272">
        <v>101.57575999999999</v>
      </c>
      <c r="P173" s="272">
        <v>77.911789999999996</v>
      </c>
      <c r="Q173" s="272">
        <v>121.0123</v>
      </c>
      <c r="R173" s="272">
        <v>54.629539999999999</v>
      </c>
      <c r="S173" s="272">
        <v>1314.75748</v>
      </c>
      <c r="U173" s="272">
        <v>1094.7332099999999</v>
      </c>
      <c r="V173" s="272">
        <v>0</v>
      </c>
      <c r="W173" s="272">
        <v>0</v>
      </c>
      <c r="X173" s="272">
        <v>220.02427</v>
      </c>
      <c r="Y173" s="272">
        <v>-97.093000000000004</v>
      </c>
      <c r="Z173" s="272">
        <v>-69.582210000000003</v>
      </c>
      <c r="AA173" s="272">
        <v>0</v>
      </c>
      <c r="AB173" s="272">
        <v>386.69947999999999</v>
      </c>
      <c r="AD173" s="272">
        <v>8837.8892499999984</v>
      </c>
      <c r="AE173" s="157">
        <v>1306.5306599999999</v>
      </c>
      <c r="AF173" s="184">
        <v>-8.22682</v>
      </c>
      <c r="AG173" s="272">
        <v>-2178.57078</v>
      </c>
      <c r="AH173" s="272">
        <v>15</v>
      </c>
      <c r="AI173" s="184">
        <v>455.26992999999999</v>
      </c>
      <c r="AJ173" s="272">
        <v>7298.5361700000003</v>
      </c>
      <c r="AL173" s="272">
        <v>4339.3779999999997</v>
      </c>
      <c r="AM173" s="184">
        <v>-36.4</v>
      </c>
      <c r="AN173" s="272">
        <v>-1200.9459999999999</v>
      </c>
      <c r="AO173" s="343">
        <v>2676</v>
      </c>
      <c r="AP173" s="332">
        <v>8.4</v>
      </c>
      <c r="AQ173" s="448"/>
      <c r="AS173" s="455">
        <v>3335.1675</v>
      </c>
      <c r="AT173" s="272">
        <v>9682.244130000001</v>
      </c>
      <c r="AU173" s="450"/>
      <c r="AV173" s="334">
        <v>4150.99766</v>
      </c>
      <c r="AW173" s="334">
        <v>803.31956000000002</v>
      </c>
      <c r="AX173" s="334">
        <v>1774.9843500000002</v>
      </c>
      <c r="AY173" s="334">
        <v>6729.3015700000005</v>
      </c>
      <c r="AZ173" s="334">
        <v>1641.614</v>
      </c>
      <c r="BA173" s="272">
        <v>83.297229999999999</v>
      </c>
      <c r="BB173" s="333">
        <v>65.971100000000007</v>
      </c>
      <c r="BC173" s="272">
        <v>161.32771</v>
      </c>
      <c r="BD173" s="272">
        <v>65.859970000000004</v>
      </c>
      <c r="BE173" s="334">
        <v>2136.6328100000001</v>
      </c>
      <c r="BG173" s="331">
        <v>1074.53701</v>
      </c>
      <c r="BH173" s="331">
        <v>2522.97975</v>
      </c>
      <c r="BI173" s="331">
        <v>0</v>
      </c>
      <c r="BJ173" s="334">
        <v>3585.07555</v>
      </c>
      <c r="BK173" s="331">
        <v>-73.552179999999993</v>
      </c>
      <c r="BL173" s="331">
        <v>717.61320000000001</v>
      </c>
      <c r="BM173" s="331">
        <v>0</v>
      </c>
      <c r="BN173" s="334">
        <v>2941.0145299999999</v>
      </c>
      <c r="BP173" s="334">
        <v>11779.316279999999</v>
      </c>
      <c r="BQ173" s="311">
        <v>2171.7985899999999</v>
      </c>
      <c r="BR173" s="272">
        <v>-2487.8139700000002</v>
      </c>
      <c r="BS173" s="461">
        <v>-2178.6257000000001</v>
      </c>
      <c r="BT173" s="272">
        <v>180</v>
      </c>
      <c r="BU173" s="272">
        <v>3869.105</v>
      </c>
      <c r="BV173" s="333">
        <v>7534.3642799999998</v>
      </c>
      <c r="BX173" s="272">
        <v>4520.9319999999998</v>
      </c>
      <c r="BY173" s="469">
        <v>-210.18030999999999</v>
      </c>
      <c r="BZ173" s="469">
        <v>181.554</v>
      </c>
      <c r="CA173" s="552"/>
      <c r="CB173" s="335">
        <v>8.4</v>
      </c>
      <c r="CC173" s="471">
        <f t="shared" si="2"/>
        <v>8.4</v>
      </c>
      <c r="CD173" s="558"/>
      <c r="CE173" s="272"/>
      <c r="CF173" s="262"/>
      <c r="CI173" s="158">
        <v>0</v>
      </c>
      <c r="CJ173" s="331">
        <v>1922.2142178252493</v>
      </c>
      <c r="CK173" s="331">
        <v>1783.4569957589806</v>
      </c>
      <c r="CL173" s="331">
        <v>1846.4310551971512</v>
      </c>
      <c r="CM173" s="472">
        <v>2032.7486278859847</v>
      </c>
      <c r="CN173" s="472">
        <v>2071.6492025479661</v>
      </c>
      <c r="CO173" s="480">
        <v>-126.44</v>
      </c>
      <c r="CP173" s="557"/>
      <c r="CQ173" s="474">
        <v>1.2569999999999999</v>
      </c>
      <c r="CR173" s="474">
        <v>0</v>
      </c>
    </row>
    <row r="174" spans="1:96" x14ac:dyDescent="0.2">
      <c r="A174" s="154">
        <v>577</v>
      </c>
      <c r="B174" s="156" t="s">
        <v>202</v>
      </c>
      <c r="C174" s="325">
        <v>11236</v>
      </c>
      <c r="D174" s="270">
        <v>8.11</v>
      </c>
      <c r="E174" s="185"/>
      <c r="G174" s="272">
        <v>6180.5054199999995</v>
      </c>
      <c r="H174" s="272">
        <v>37364.797689999999</v>
      </c>
      <c r="I174" s="272"/>
      <c r="J174" s="272">
        <v>21881.366770000001</v>
      </c>
      <c r="K174" s="272">
        <v>2272.68788</v>
      </c>
      <c r="L174" s="272">
        <v>2480.6403599999999</v>
      </c>
      <c r="M174" s="272">
        <v>26634.695010000003</v>
      </c>
      <c r="N174" s="272">
        <v>10180.119000000001</v>
      </c>
      <c r="O174" s="272">
        <v>560.03243999999995</v>
      </c>
      <c r="P174" s="272">
        <v>1216.66463</v>
      </c>
      <c r="Q174" s="272">
        <v>423.75923999999998</v>
      </c>
      <c r="R174" s="272">
        <v>5.1391999999999998</v>
      </c>
      <c r="S174" s="272">
        <v>5392.5095899999997</v>
      </c>
      <c r="U174" s="272">
        <v>2883.08563</v>
      </c>
      <c r="V174" s="272">
        <v>0</v>
      </c>
      <c r="W174" s="272">
        <v>156.93822</v>
      </c>
      <c r="X174" s="272">
        <v>2352.4857400000001</v>
      </c>
      <c r="Y174" s="272">
        <v>-84.060789999999997</v>
      </c>
      <c r="Z174" s="272">
        <v>0</v>
      </c>
      <c r="AA174" s="272">
        <v>0</v>
      </c>
      <c r="AB174" s="272">
        <v>2436.5465299999996</v>
      </c>
      <c r="AD174" s="272">
        <v>16005.393260000001</v>
      </c>
      <c r="AE174" s="157">
        <v>5216.9073600000002</v>
      </c>
      <c r="AF174" s="184">
        <v>-18.664009999999998</v>
      </c>
      <c r="AG174" s="272">
        <v>-6799.8322600000001</v>
      </c>
      <c r="AH174" s="272">
        <v>427</v>
      </c>
      <c r="AI174" s="184">
        <v>1630.98468</v>
      </c>
      <c r="AJ174" s="272">
        <v>1203.08284</v>
      </c>
      <c r="AL174" s="272">
        <v>53501.94</v>
      </c>
      <c r="AM174" s="184">
        <v>1571.8736000000001</v>
      </c>
      <c r="AN174" s="272">
        <v>2126.94</v>
      </c>
      <c r="AO174" s="343">
        <v>11221</v>
      </c>
      <c r="AP174" s="332">
        <v>8.1999999999999993</v>
      </c>
      <c r="AQ174" s="448"/>
      <c r="AS174" s="455">
        <v>6555.6693800000003</v>
      </c>
      <c r="AT174" s="272">
        <v>39314.267770000006</v>
      </c>
      <c r="AU174" s="450"/>
      <c r="AV174" s="334">
        <v>21544.770129999997</v>
      </c>
      <c r="AW174" s="334">
        <v>1334.0182</v>
      </c>
      <c r="AX174" s="334">
        <v>2658.58779</v>
      </c>
      <c r="AY174" s="334">
        <v>25537.376120000001</v>
      </c>
      <c r="AZ174" s="334">
        <v>9929.0390000000007</v>
      </c>
      <c r="BA174" s="272">
        <v>452.82204999999999</v>
      </c>
      <c r="BB174" s="333">
        <v>1010.2338100000001</v>
      </c>
      <c r="BC174" s="272">
        <v>426.59414000000004</v>
      </c>
      <c r="BD174" s="272">
        <v>5.3036899999999996</v>
      </c>
      <c r="BE174" s="334">
        <v>2571.69542</v>
      </c>
      <c r="BG174" s="331">
        <v>3064.39642</v>
      </c>
      <c r="BH174" s="331">
        <v>0</v>
      </c>
      <c r="BI174" s="331">
        <v>0</v>
      </c>
      <c r="BJ174" s="334">
        <v>-492.70100000000002</v>
      </c>
      <c r="BK174" s="331">
        <v>-84.060789999999997</v>
      </c>
      <c r="BL174" s="331">
        <v>0</v>
      </c>
      <c r="BM174" s="331">
        <v>0</v>
      </c>
      <c r="BN174" s="334">
        <v>-408.64021000000002</v>
      </c>
      <c r="BP174" s="334">
        <v>15596.753049999999</v>
      </c>
      <c r="BQ174" s="311">
        <v>2246.32233</v>
      </c>
      <c r="BR174" s="272">
        <v>-325.37309000000005</v>
      </c>
      <c r="BS174" s="461">
        <v>-13258.889810000001</v>
      </c>
      <c r="BT174" s="272">
        <v>478.55</v>
      </c>
      <c r="BU174" s="272">
        <v>533.51743999999997</v>
      </c>
      <c r="BV174" s="333">
        <v>2015.9492700000001</v>
      </c>
      <c r="BX174" s="272">
        <v>61623.735999999997</v>
      </c>
      <c r="BY174" s="469">
        <v>2071.8735999999999</v>
      </c>
      <c r="BZ174" s="469">
        <v>8121.7960000000003</v>
      </c>
      <c r="CA174" s="552"/>
      <c r="CB174" s="335">
        <v>8.1999999999999993</v>
      </c>
      <c r="CC174" s="471">
        <f t="shared" si="2"/>
        <v>8.1999999999999993</v>
      </c>
      <c r="CD174" s="558"/>
      <c r="CE174" s="272"/>
      <c r="CF174" s="262"/>
      <c r="CI174" s="158">
        <v>1500</v>
      </c>
      <c r="CJ174" s="331">
        <v>10850.588786572845</v>
      </c>
      <c r="CK174" s="331">
        <v>11477.41163744627</v>
      </c>
      <c r="CL174" s="331">
        <v>11633.856523078564</v>
      </c>
      <c r="CM174" s="472">
        <v>12541.554321380529</v>
      </c>
      <c r="CN174" s="472">
        <v>12955.585301125184</v>
      </c>
      <c r="CO174" s="480">
        <v>637.50400000000002</v>
      </c>
      <c r="CP174" s="557"/>
      <c r="CQ174" s="474">
        <v>0</v>
      </c>
      <c r="CR174" s="474">
        <v>0</v>
      </c>
    </row>
    <row r="175" spans="1:96" x14ac:dyDescent="0.2">
      <c r="A175" s="154">
        <v>578</v>
      </c>
      <c r="B175" s="156" t="s">
        <v>203</v>
      </c>
      <c r="C175" s="325">
        <v>3037</v>
      </c>
      <c r="D175" s="270">
        <v>9.36</v>
      </c>
      <c r="E175" s="185"/>
      <c r="G175" s="272">
        <v>3897.8715899999997</v>
      </c>
      <c r="H175" s="272">
        <v>12140.0738</v>
      </c>
      <c r="I175" s="272"/>
      <c r="J175" s="272">
        <v>4897.1123099999995</v>
      </c>
      <c r="K175" s="272">
        <v>567.95799999999997</v>
      </c>
      <c r="L175" s="272">
        <v>1411.4463400000002</v>
      </c>
      <c r="M175" s="272">
        <v>6876.5166500000005</v>
      </c>
      <c r="N175" s="272">
        <v>2215.63</v>
      </c>
      <c r="O175" s="272">
        <v>7.0445699999999993</v>
      </c>
      <c r="P175" s="272">
        <v>204.15834000000001</v>
      </c>
      <c r="Q175" s="272">
        <v>119.48722000000001</v>
      </c>
      <c r="R175" s="272">
        <v>3.21617</v>
      </c>
      <c r="S175" s="272">
        <v>769.58077000000003</v>
      </c>
      <c r="U175" s="272">
        <v>1431.4631299999999</v>
      </c>
      <c r="V175" s="272">
        <v>0</v>
      </c>
      <c r="W175" s="272">
        <v>0</v>
      </c>
      <c r="X175" s="272">
        <v>-661.88235999999995</v>
      </c>
      <c r="Y175" s="272">
        <v>-19.57762</v>
      </c>
      <c r="Z175" s="272">
        <v>0</v>
      </c>
      <c r="AA175" s="272">
        <v>0</v>
      </c>
      <c r="AB175" s="272">
        <v>-642.30474000000004</v>
      </c>
      <c r="AD175" s="272">
        <v>-281.26207000000005</v>
      </c>
      <c r="AE175" s="157">
        <v>772.07943999999998</v>
      </c>
      <c r="AF175" s="184">
        <v>2.4986700000000002</v>
      </c>
      <c r="AG175" s="272">
        <v>-721.1385600000001</v>
      </c>
      <c r="AH175" s="272">
        <v>77.778170000000003</v>
      </c>
      <c r="AI175" s="184">
        <v>74.495999999999995</v>
      </c>
      <c r="AJ175" s="272">
        <v>5765.4452799999999</v>
      </c>
      <c r="AL175" s="272">
        <v>18810</v>
      </c>
      <c r="AM175" s="184">
        <v>0</v>
      </c>
      <c r="AN175" s="272">
        <v>-940</v>
      </c>
      <c r="AO175" s="343">
        <v>2990</v>
      </c>
      <c r="AP175" s="332">
        <v>9.4</v>
      </c>
      <c r="AQ175" s="448"/>
      <c r="AS175" s="455">
        <v>3910.74343</v>
      </c>
      <c r="AT175" s="272">
        <v>11790.357789999998</v>
      </c>
      <c r="AU175" s="450"/>
      <c r="AV175" s="334">
        <v>5150.0130599999993</v>
      </c>
      <c r="AW175" s="334">
        <v>429.41534999999999</v>
      </c>
      <c r="AX175" s="334">
        <v>1468.50377</v>
      </c>
      <c r="AY175" s="334">
        <v>7047.9321799999998</v>
      </c>
      <c r="AZ175" s="334">
        <v>2101.444</v>
      </c>
      <c r="BA175" s="272">
        <v>9.2464699999999986</v>
      </c>
      <c r="BB175" s="333">
        <v>225.68604999999999</v>
      </c>
      <c r="BC175" s="272">
        <v>645.95957999999996</v>
      </c>
      <c r="BD175" s="272">
        <v>32.845410000000001</v>
      </c>
      <c r="BE175" s="334">
        <v>1666.43641</v>
      </c>
      <c r="BG175" s="331">
        <v>1678.13564</v>
      </c>
      <c r="BH175" s="334">
        <v>0</v>
      </c>
      <c r="BI175" s="331">
        <v>0</v>
      </c>
      <c r="BJ175" s="334">
        <v>-11.69923</v>
      </c>
      <c r="BK175" s="334">
        <v>-19.486519999999999</v>
      </c>
      <c r="BL175" s="331">
        <v>0</v>
      </c>
      <c r="BM175" s="334">
        <v>0</v>
      </c>
      <c r="BN175" s="334">
        <v>7.7872899999999996</v>
      </c>
      <c r="BP175" s="334">
        <v>-273.47478000000001</v>
      </c>
      <c r="BQ175" s="311">
        <v>1657.35799</v>
      </c>
      <c r="BR175" s="272">
        <v>-9.0784199999999995</v>
      </c>
      <c r="BS175" s="461">
        <v>-412.38243999999997</v>
      </c>
      <c r="BT175" s="272">
        <v>85.295789999999997</v>
      </c>
      <c r="BU175" s="272">
        <v>45.079300000000003</v>
      </c>
      <c r="BV175" s="333">
        <v>6229.8052699999998</v>
      </c>
      <c r="BX175" s="272">
        <v>18120</v>
      </c>
      <c r="BY175" s="469">
        <v>-5.6006599999999995</v>
      </c>
      <c r="BZ175" s="469">
        <v>-690</v>
      </c>
      <c r="CA175" s="552"/>
      <c r="CB175" s="335">
        <v>9.4</v>
      </c>
      <c r="CC175" s="471">
        <f t="shared" si="2"/>
        <v>9.4</v>
      </c>
      <c r="CD175" s="558"/>
      <c r="CE175" s="272"/>
      <c r="CF175" s="262"/>
      <c r="CI175" s="158">
        <v>0</v>
      </c>
      <c r="CJ175" s="331">
        <v>2700.7950226477928</v>
      </c>
      <c r="CK175" s="331">
        <v>2608.9800816150264</v>
      </c>
      <c r="CL175" s="331">
        <v>2900.3710103421668</v>
      </c>
      <c r="CM175" s="472">
        <v>2937.3159290292824</v>
      </c>
      <c r="CN175" s="472">
        <v>3070.0508502638804</v>
      </c>
      <c r="CO175" s="480">
        <v>210.91499999999999</v>
      </c>
      <c r="CP175" s="557"/>
      <c r="CQ175" s="474">
        <v>0.47905000000000003</v>
      </c>
      <c r="CR175" s="474">
        <v>0</v>
      </c>
    </row>
    <row r="176" spans="1:96" x14ac:dyDescent="0.2">
      <c r="A176" s="154">
        <v>445</v>
      </c>
      <c r="B176" s="262" t="s">
        <v>381</v>
      </c>
      <c r="C176" s="325">
        <v>14999</v>
      </c>
      <c r="D176" s="270">
        <v>7.86</v>
      </c>
      <c r="E176" s="185"/>
      <c r="G176" s="272">
        <v>17114.009190000001</v>
      </c>
      <c r="H176" s="272">
        <v>61332.556049999999</v>
      </c>
      <c r="I176" s="272"/>
      <c r="J176" s="272">
        <v>30541.31767</v>
      </c>
      <c r="K176" s="272">
        <v>2627.62246</v>
      </c>
      <c r="L176" s="272">
        <v>10310.44218</v>
      </c>
      <c r="M176" s="272">
        <v>43479.382310000001</v>
      </c>
      <c r="N176" s="272">
        <v>10717.475</v>
      </c>
      <c r="O176" s="272">
        <v>2.6526799999999997</v>
      </c>
      <c r="P176" s="272">
        <v>875.15416000000005</v>
      </c>
      <c r="Q176" s="272">
        <v>1174.89561</v>
      </c>
      <c r="R176" s="272">
        <v>48.188449999999996</v>
      </c>
      <c r="S176" s="272">
        <v>10232.51613</v>
      </c>
      <c r="U176" s="272">
        <v>7470.4515799999999</v>
      </c>
      <c r="V176" s="272">
        <v>0</v>
      </c>
      <c r="W176" s="272">
        <v>0</v>
      </c>
      <c r="X176" s="272">
        <v>2762.0645499999996</v>
      </c>
      <c r="Y176" s="272">
        <v>-41.152920000000002</v>
      </c>
      <c r="Z176" s="272">
        <v>0</v>
      </c>
      <c r="AA176" s="272">
        <v>0</v>
      </c>
      <c r="AB176" s="272">
        <v>2803.21747</v>
      </c>
      <c r="AD176" s="272">
        <v>13770.226709999999</v>
      </c>
      <c r="AE176" s="157">
        <v>10276.24886</v>
      </c>
      <c r="AF176" s="184">
        <v>43.732730000000004</v>
      </c>
      <c r="AG176" s="272">
        <v>-11856.134550000001</v>
      </c>
      <c r="AH176" s="272">
        <v>75.816580000000002</v>
      </c>
      <c r="AI176" s="184">
        <v>305.12</v>
      </c>
      <c r="AJ176" s="272">
        <v>2565.7037999999998</v>
      </c>
      <c r="AL176" s="272">
        <v>45999.381819999995</v>
      </c>
      <c r="AM176" s="184">
        <v>35</v>
      </c>
      <c r="AN176" s="272">
        <v>4491.8484600000002</v>
      </c>
      <c r="AO176" s="343">
        <v>14868</v>
      </c>
      <c r="AP176" s="332">
        <v>7.9</v>
      </c>
      <c r="AQ176" s="448"/>
      <c r="AS176" s="455">
        <v>26953.811750000001</v>
      </c>
      <c r="AT176" s="272">
        <v>59984.11075</v>
      </c>
      <c r="AU176" s="450"/>
      <c r="AV176" s="334">
        <v>29194.002100000002</v>
      </c>
      <c r="AW176" s="334">
        <v>2192.8489500000001</v>
      </c>
      <c r="AX176" s="334">
        <v>10530.651029999999</v>
      </c>
      <c r="AY176" s="334">
        <v>41917.502079999998</v>
      </c>
      <c r="AZ176" s="334">
        <v>8337.0609999999997</v>
      </c>
      <c r="BA176" s="272">
        <v>354.00646</v>
      </c>
      <c r="BB176" s="333">
        <v>1047.2530300000001</v>
      </c>
      <c r="BC176" s="272">
        <v>1190.7715700000001</v>
      </c>
      <c r="BD176" s="272">
        <v>54.146940000000001</v>
      </c>
      <c r="BE176" s="334">
        <v>17667.64214</v>
      </c>
      <c r="BG176" s="331">
        <v>5352.4899100000002</v>
      </c>
      <c r="BH176" s="334">
        <v>0</v>
      </c>
      <c r="BI176" s="334">
        <v>0</v>
      </c>
      <c r="BJ176" s="334">
        <v>12315.15223</v>
      </c>
      <c r="BK176" s="334">
        <v>-39.179559999999995</v>
      </c>
      <c r="BL176" s="334">
        <v>2400</v>
      </c>
      <c r="BM176" s="334">
        <v>0</v>
      </c>
      <c r="BN176" s="334">
        <v>9954.3317899999984</v>
      </c>
      <c r="BP176" s="334">
        <v>23724.558499999999</v>
      </c>
      <c r="BQ176" s="311">
        <v>5056.0968700000003</v>
      </c>
      <c r="BR176" s="272">
        <v>-12611.545269999999</v>
      </c>
      <c r="BS176" s="461">
        <v>-6765.7971500000003</v>
      </c>
      <c r="BT176" s="272">
        <v>140.7216</v>
      </c>
      <c r="BU176" s="272">
        <v>11503.410230000001</v>
      </c>
      <c r="BV176" s="333">
        <v>13255.139929999999</v>
      </c>
      <c r="BX176" s="272">
        <v>48206.743029999998</v>
      </c>
      <c r="BY176" s="469">
        <v>0</v>
      </c>
      <c r="BZ176" s="469">
        <v>2207.36121</v>
      </c>
      <c r="CA176" s="552"/>
      <c r="CB176" s="335">
        <v>7.9</v>
      </c>
      <c r="CC176" s="471">
        <f t="shared" si="2"/>
        <v>7.9</v>
      </c>
      <c r="CD176" s="558"/>
      <c r="CE176" s="272"/>
      <c r="CF176" s="262"/>
      <c r="CI176" s="158">
        <v>0</v>
      </c>
      <c r="CJ176" s="331">
        <v>9330.2915489134193</v>
      </c>
      <c r="CK176" s="331">
        <v>9688.3645064100492</v>
      </c>
      <c r="CL176" s="331">
        <v>10325.75396751994</v>
      </c>
      <c r="CM176" s="472">
        <v>11430.093209497511</v>
      </c>
      <c r="CN176" s="472">
        <v>11704.827329070062</v>
      </c>
      <c r="CO176" s="480">
        <v>6.79</v>
      </c>
      <c r="CP176" s="557"/>
      <c r="CQ176" s="474">
        <v>0</v>
      </c>
      <c r="CR176" s="474">
        <v>0</v>
      </c>
    </row>
    <row r="177" spans="1:96" x14ac:dyDescent="0.2">
      <c r="A177" s="154">
        <v>580</v>
      </c>
      <c r="B177" s="156" t="s">
        <v>204</v>
      </c>
      <c r="C177" s="325">
        <v>4366</v>
      </c>
      <c r="D177" s="270">
        <v>8.86</v>
      </c>
      <c r="E177" s="185"/>
      <c r="G177" s="272">
        <v>5100.9367400000001</v>
      </c>
      <c r="H177" s="272">
        <v>15207.86822</v>
      </c>
      <c r="I177" s="272"/>
      <c r="J177" s="272">
        <v>7051.4216200000001</v>
      </c>
      <c r="K177" s="272">
        <v>1086.9561000000001</v>
      </c>
      <c r="L177" s="272">
        <v>1379.0549799999999</v>
      </c>
      <c r="M177" s="272">
        <v>9517.4326999999994</v>
      </c>
      <c r="N177" s="272">
        <v>2387.5149999999999</v>
      </c>
      <c r="O177" s="272">
        <v>7.1102600000000002</v>
      </c>
      <c r="P177" s="272">
        <v>162.42807999999999</v>
      </c>
      <c r="Q177" s="272">
        <v>75.358490000000003</v>
      </c>
      <c r="R177" s="272">
        <v>2.06616</v>
      </c>
      <c r="S177" s="272">
        <v>1715.99073</v>
      </c>
      <c r="U177" s="272">
        <v>1905.9993400000001</v>
      </c>
      <c r="V177" s="272">
        <v>0</v>
      </c>
      <c r="W177" s="272">
        <v>0</v>
      </c>
      <c r="X177" s="272">
        <v>-190.00860999999998</v>
      </c>
      <c r="Y177" s="272">
        <v>-11.236360000000001</v>
      </c>
      <c r="Z177" s="272">
        <v>0</v>
      </c>
      <c r="AA177" s="272">
        <v>5.4714999999999998</v>
      </c>
      <c r="AB177" s="272">
        <v>-184.24375000000001</v>
      </c>
      <c r="AD177" s="272">
        <v>15903.14399</v>
      </c>
      <c r="AE177" s="157">
        <v>1579.4446699999999</v>
      </c>
      <c r="AF177" s="184">
        <v>-136.54606000000001</v>
      </c>
      <c r="AG177" s="272">
        <v>-9053.232759999999</v>
      </c>
      <c r="AH177" s="272">
        <v>1547.385</v>
      </c>
      <c r="AI177" s="184">
        <v>246.63900000000001</v>
      </c>
      <c r="AJ177" s="272">
        <v>3901.9020599999999</v>
      </c>
      <c r="AL177" s="272">
        <v>16962.194080000001</v>
      </c>
      <c r="AM177" s="184">
        <v>0</v>
      </c>
      <c r="AN177" s="272">
        <v>6122.5389599999999</v>
      </c>
      <c r="AO177" s="343">
        <v>4300</v>
      </c>
      <c r="AP177" s="332">
        <v>9.5</v>
      </c>
      <c r="AQ177" s="448"/>
      <c r="AS177" s="455">
        <v>5218.6630500000001</v>
      </c>
      <c r="AT177" s="272">
        <v>14894.95687</v>
      </c>
      <c r="AU177" s="450"/>
      <c r="AV177" s="334">
        <v>7308.2615700000006</v>
      </c>
      <c r="AW177" s="334">
        <v>983.24302</v>
      </c>
      <c r="AX177" s="334">
        <v>1586.0924</v>
      </c>
      <c r="AY177" s="334">
        <v>9877.59699</v>
      </c>
      <c r="AZ177" s="334">
        <v>1832.0070000000001</v>
      </c>
      <c r="BA177" s="272">
        <v>3.6348699999999998</v>
      </c>
      <c r="BB177" s="333">
        <v>303.6062</v>
      </c>
      <c r="BC177" s="272">
        <v>90.248820000000009</v>
      </c>
      <c r="BD177" s="272">
        <v>1.6011900000000001</v>
      </c>
      <c r="BE177" s="334">
        <v>1821.9864700000001</v>
      </c>
      <c r="BG177" s="331">
        <v>2571.5841600000003</v>
      </c>
      <c r="BH177" s="334">
        <v>0</v>
      </c>
      <c r="BI177" s="334">
        <v>0</v>
      </c>
      <c r="BJ177" s="334">
        <v>-749.59768999999994</v>
      </c>
      <c r="BK177" s="334">
        <v>-10.72514</v>
      </c>
      <c r="BL177" s="334">
        <v>0</v>
      </c>
      <c r="BM177" s="334">
        <v>7.8842299999999996</v>
      </c>
      <c r="BN177" s="334">
        <v>-746.75678000000005</v>
      </c>
      <c r="BP177" s="334">
        <v>15156.387210000001</v>
      </c>
      <c r="BQ177" s="311">
        <v>1821.9864700000001</v>
      </c>
      <c r="BR177" s="272">
        <v>0</v>
      </c>
      <c r="BS177" s="461">
        <v>-934.97503000000006</v>
      </c>
      <c r="BT177" s="272">
        <v>318.601</v>
      </c>
      <c r="BU177" s="272">
        <v>0</v>
      </c>
      <c r="BV177" s="333">
        <v>3989.3514100000002</v>
      </c>
      <c r="BX177" s="272">
        <v>16088.54004</v>
      </c>
      <c r="BY177" s="469">
        <v>-0.95</v>
      </c>
      <c r="BZ177" s="469">
        <v>-873.65404000000001</v>
      </c>
      <c r="CA177" s="552"/>
      <c r="CB177" s="335">
        <v>9.5</v>
      </c>
      <c r="CC177" s="471">
        <f t="shared" si="2"/>
        <v>9.5</v>
      </c>
      <c r="CD177" s="558"/>
      <c r="CE177" s="272"/>
      <c r="CF177" s="262"/>
      <c r="CI177" s="158">
        <v>0</v>
      </c>
      <c r="CJ177" s="331">
        <v>2293.9003171024515</v>
      </c>
      <c r="CK177" s="331">
        <v>2123.8804677396188</v>
      </c>
      <c r="CL177" s="331">
        <v>2475.9385971731681</v>
      </c>
      <c r="CM177" s="472">
        <v>2729.2305984252976</v>
      </c>
      <c r="CN177" s="472">
        <v>2803.6685749869357</v>
      </c>
      <c r="CO177" s="480">
        <v>-281.40100000000001</v>
      </c>
      <c r="CP177" s="557"/>
      <c r="CQ177" s="474">
        <v>0</v>
      </c>
      <c r="CR177" s="474">
        <v>0</v>
      </c>
    </row>
    <row r="178" spans="1:96" x14ac:dyDescent="0.2">
      <c r="A178" s="154">
        <v>581</v>
      </c>
      <c r="B178" s="156" t="s">
        <v>205</v>
      </c>
      <c r="C178" s="325">
        <v>6123</v>
      </c>
      <c r="D178" s="270">
        <v>9.36</v>
      </c>
      <c r="E178" s="185"/>
      <c r="G178" s="272">
        <v>5501.0023799999999</v>
      </c>
      <c r="H178" s="272">
        <v>20506.78458</v>
      </c>
      <c r="I178" s="272"/>
      <c r="J178" s="272">
        <v>10446.526750000001</v>
      </c>
      <c r="K178" s="272">
        <v>2341.6450800000002</v>
      </c>
      <c r="L178" s="272">
        <v>2129.5296499999999</v>
      </c>
      <c r="M178" s="272">
        <v>14917.70148</v>
      </c>
      <c r="N178" s="272">
        <v>5295.6890000000003</v>
      </c>
      <c r="O178" s="272">
        <v>44.259900000000002</v>
      </c>
      <c r="P178" s="272">
        <v>374.37119999999999</v>
      </c>
      <c r="Q178" s="272">
        <v>80.140470000000008</v>
      </c>
      <c r="R178" s="272">
        <v>617.37716</v>
      </c>
      <c r="S178" s="272">
        <v>4431.0921799999996</v>
      </c>
      <c r="U178" s="272">
        <v>2230.8520099999996</v>
      </c>
      <c r="V178" s="272">
        <v>0</v>
      </c>
      <c r="W178" s="272">
        <v>0</v>
      </c>
      <c r="X178" s="272">
        <v>2200.24017</v>
      </c>
      <c r="Y178" s="272">
        <v>0</v>
      </c>
      <c r="Z178" s="272">
        <v>0</v>
      </c>
      <c r="AA178" s="272">
        <v>0</v>
      </c>
      <c r="AB178" s="272">
        <v>2200.24017</v>
      </c>
      <c r="AD178" s="272">
        <v>12052.749209999998</v>
      </c>
      <c r="AE178" s="157">
        <v>4375.0535</v>
      </c>
      <c r="AF178" s="184">
        <v>-56.038679999999999</v>
      </c>
      <c r="AG178" s="272">
        <v>-1731.9223500000001</v>
      </c>
      <c r="AH178" s="272">
        <v>141.71600000000001</v>
      </c>
      <c r="AI178" s="184">
        <v>85.466309999999993</v>
      </c>
      <c r="AJ178" s="272">
        <v>1246.11454</v>
      </c>
      <c r="AL178" s="272">
        <v>17005.298000000003</v>
      </c>
      <c r="AM178" s="184">
        <v>7.0555399999999997</v>
      </c>
      <c r="AN178" s="272">
        <v>-3657.8980000000001</v>
      </c>
      <c r="AO178" s="343">
        <v>6069</v>
      </c>
      <c r="AP178" s="332">
        <v>9.4</v>
      </c>
      <c r="AQ178" s="448"/>
      <c r="AS178" s="455">
        <v>5298.9585700000007</v>
      </c>
      <c r="AT178" s="272">
        <v>19725.174899999998</v>
      </c>
      <c r="AU178" s="450"/>
      <c r="AV178" s="334">
        <v>10504.65148</v>
      </c>
      <c r="AW178" s="334">
        <v>1991.1273799999999</v>
      </c>
      <c r="AX178" s="334">
        <v>2168.2522000000004</v>
      </c>
      <c r="AY178" s="334">
        <v>14664.031060000001</v>
      </c>
      <c r="AZ178" s="334">
        <v>3106.3270000000002</v>
      </c>
      <c r="BA178" s="272">
        <v>70.151800000000009</v>
      </c>
      <c r="BB178" s="333">
        <v>380.30488000000003</v>
      </c>
      <c r="BC178" s="272">
        <v>74.325369999999992</v>
      </c>
      <c r="BD178" s="272">
        <v>616.77058999999997</v>
      </c>
      <c r="BE178" s="334">
        <v>2588.5121300000001</v>
      </c>
      <c r="BG178" s="331">
        <v>1887.2508400000002</v>
      </c>
      <c r="BH178" s="331">
        <v>0</v>
      </c>
      <c r="BI178" s="331">
        <v>0</v>
      </c>
      <c r="BJ178" s="334">
        <v>701.26129000000003</v>
      </c>
      <c r="BK178" s="331">
        <v>0</v>
      </c>
      <c r="BL178" s="331">
        <v>0</v>
      </c>
      <c r="BM178" s="331">
        <v>0</v>
      </c>
      <c r="BN178" s="334">
        <v>701.26129000000003</v>
      </c>
      <c r="BP178" s="334">
        <v>12754.0105</v>
      </c>
      <c r="BQ178" s="311">
        <v>1952.2668000000001</v>
      </c>
      <c r="BR178" s="272">
        <v>-636.24532999999997</v>
      </c>
      <c r="BS178" s="461">
        <v>-1056.9290000000001</v>
      </c>
      <c r="BT178" s="272">
        <v>0</v>
      </c>
      <c r="BU178" s="272">
        <v>711.82664999999997</v>
      </c>
      <c r="BV178" s="333">
        <v>3358.4109900000003</v>
      </c>
      <c r="BX178" s="272">
        <v>16993.307000000001</v>
      </c>
      <c r="BY178" s="469">
        <v>94.305539999999993</v>
      </c>
      <c r="BZ178" s="469">
        <v>-11.991</v>
      </c>
      <c r="CA178" s="552"/>
      <c r="CB178" s="335">
        <v>9.4</v>
      </c>
      <c r="CC178" s="471">
        <f t="shared" si="2"/>
        <v>9.4</v>
      </c>
      <c r="CD178" s="558"/>
      <c r="CE178" s="272"/>
      <c r="CF178" s="262"/>
      <c r="CI178" s="158">
        <v>0</v>
      </c>
      <c r="CJ178" s="331">
        <v>3953.0198070425622</v>
      </c>
      <c r="CK178" s="331">
        <v>3822.9879503054199</v>
      </c>
      <c r="CL178" s="331">
        <v>4153.6221286061018</v>
      </c>
      <c r="CM178" s="472">
        <v>4596.3035386810288</v>
      </c>
      <c r="CN178" s="472">
        <v>4862.3707776691017</v>
      </c>
      <c r="CO178" s="480">
        <v>-297.49900000000002</v>
      </c>
      <c r="CP178" s="557"/>
      <c r="CQ178" s="474">
        <v>90.831890000000001</v>
      </c>
      <c r="CR178" s="474">
        <v>96.968699999999998</v>
      </c>
    </row>
    <row r="179" spans="1:96" x14ac:dyDescent="0.2">
      <c r="A179" s="154">
        <v>599</v>
      </c>
      <c r="B179" s="156" t="s">
        <v>206</v>
      </c>
      <c r="C179" s="325">
        <v>11225</v>
      </c>
      <c r="D179" s="270">
        <v>8.36</v>
      </c>
      <c r="E179" s="185"/>
      <c r="G179" s="272">
        <v>13727.18543</v>
      </c>
      <c r="H179" s="272">
        <v>47958.772499999999</v>
      </c>
      <c r="I179" s="272"/>
      <c r="J179" s="272">
        <v>18412.357929999998</v>
      </c>
      <c r="K179" s="272">
        <v>3048.85034</v>
      </c>
      <c r="L179" s="272">
        <v>2581.7694700000002</v>
      </c>
      <c r="M179" s="272">
        <v>24042.977739999998</v>
      </c>
      <c r="N179" s="272">
        <v>15287.4</v>
      </c>
      <c r="O179" s="272">
        <v>53.81467</v>
      </c>
      <c r="P179" s="272">
        <v>786.59384999999997</v>
      </c>
      <c r="Q179" s="272">
        <v>406.94466999999997</v>
      </c>
      <c r="R179" s="272">
        <v>37.93562</v>
      </c>
      <c r="S179" s="272">
        <v>4935.6905800000004</v>
      </c>
      <c r="U179" s="272">
        <v>2747.6671000000001</v>
      </c>
      <c r="V179" s="272">
        <v>0</v>
      </c>
      <c r="W179" s="272">
        <v>0</v>
      </c>
      <c r="X179" s="272">
        <v>2188.0234799999998</v>
      </c>
      <c r="Y179" s="272">
        <v>-44.879739999999998</v>
      </c>
      <c r="Z179" s="272">
        <v>0</v>
      </c>
      <c r="AA179" s="272">
        <v>0</v>
      </c>
      <c r="AB179" s="272">
        <v>2232.9032200000001</v>
      </c>
      <c r="AD179" s="272">
        <v>16589.474419999999</v>
      </c>
      <c r="AE179" s="157">
        <v>4809.7458799999995</v>
      </c>
      <c r="AF179" s="184">
        <v>-125.9447</v>
      </c>
      <c r="AG179" s="272">
        <v>-16166.43283</v>
      </c>
      <c r="AH179" s="272">
        <v>436.2953</v>
      </c>
      <c r="AI179" s="184">
        <v>132.11099999999999</v>
      </c>
      <c r="AJ179" s="272">
        <v>4961.9756900000002</v>
      </c>
      <c r="AL179" s="272">
        <v>46930.689969999999</v>
      </c>
      <c r="AM179" s="184">
        <v>924.26722999999993</v>
      </c>
      <c r="AN179" s="272">
        <v>13966.4825</v>
      </c>
      <c r="AO179" s="343">
        <v>11226</v>
      </c>
      <c r="AP179" s="332">
        <v>9</v>
      </c>
      <c r="AQ179" s="448"/>
      <c r="AS179" s="455">
        <v>13783.053980000001</v>
      </c>
      <c r="AT179" s="272">
        <v>48621.112450000001</v>
      </c>
      <c r="AU179" s="450"/>
      <c r="AV179" s="334">
        <v>19218.17254</v>
      </c>
      <c r="AW179" s="334">
        <v>2432.1585</v>
      </c>
      <c r="AX179" s="334">
        <v>2897.6126899999999</v>
      </c>
      <c r="AY179" s="334">
        <v>24547.943729999999</v>
      </c>
      <c r="AZ179" s="334">
        <v>15405.065000000001</v>
      </c>
      <c r="BA179" s="272">
        <v>197.44665000000001</v>
      </c>
      <c r="BB179" s="333">
        <v>1214.17381</v>
      </c>
      <c r="BC179" s="272">
        <v>775.28919999999994</v>
      </c>
      <c r="BD179" s="272">
        <v>18.335330000000003</v>
      </c>
      <c r="BE179" s="334">
        <v>5078.4532199999994</v>
      </c>
      <c r="BG179" s="331">
        <v>3140.0444199999997</v>
      </c>
      <c r="BH179" s="331">
        <v>0</v>
      </c>
      <c r="BI179" s="331">
        <v>0</v>
      </c>
      <c r="BJ179" s="334">
        <v>1938.4088000000002</v>
      </c>
      <c r="BK179" s="334">
        <v>-44.879739999999998</v>
      </c>
      <c r="BL179" s="334">
        <v>0</v>
      </c>
      <c r="BM179" s="334">
        <v>0</v>
      </c>
      <c r="BN179" s="334">
        <v>1983.28854</v>
      </c>
      <c r="BP179" s="334">
        <v>18615.480960000001</v>
      </c>
      <c r="BQ179" s="311">
        <v>5038.1860999999999</v>
      </c>
      <c r="BR179" s="272">
        <v>-40.267120000000006</v>
      </c>
      <c r="BS179" s="461">
        <v>-8991.782580000001</v>
      </c>
      <c r="BT179" s="272">
        <v>152.18700000000001</v>
      </c>
      <c r="BU179" s="272">
        <v>117.49113</v>
      </c>
      <c r="BV179" s="333">
        <v>6765.6673300000002</v>
      </c>
      <c r="BX179" s="272">
        <v>52897.172469999998</v>
      </c>
      <c r="BY179" s="469">
        <v>138.24723</v>
      </c>
      <c r="BZ179" s="469">
        <v>5966.4825000000001</v>
      </c>
      <c r="CA179" s="552"/>
      <c r="CB179" s="335">
        <v>9.3000000000000007</v>
      </c>
      <c r="CC179" s="471">
        <f t="shared" si="2"/>
        <v>9.3000000000000007</v>
      </c>
      <c r="CD179" s="558"/>
      <c r="CE179" s="272"/>
      <c r="CF179" s="262"/>
      <c r="CI179" s="158">
        <v>0</v>
      </c>
      <c r="CJ179" s="331">
        <v>16027.855067608049</v>
      </c>
      <c r="CK179" s="331">
        <v>16761.942959666434</v>
      </c>
      <c r="CL179" s="331">
        <v>17321.584917273482</v>
      </c>
      <c r="CM179" s="472">
        <v>18521.408773652147</v>
      </c>
      <c r="CN179" s="472">
        <v>19400.991566425419</v>
      </c>
      <c r="CO179" s="480">
        <v>-706.73500000000001</v>
      </c>
      <c r="CP179" s="557"/>
      <c r="CQ179" s="474">
        <v>200.67004</v>
      </c>
      <c r="CR179" s="474">
        <v>223.27625</v>
      </c>
    </row>
    <row r="180" spans="1:96" x14ac:dyDescent="0.2">
      <c r="A180" s="154">
        <v>583</v>
      </c>
      <c r="B180" s="156" t="s">
        <v>207</v>
      </c>
      <c r="C180" s="325">
        <v>912</v>
      </c>
      <c r="D180" s="270">
        <v>9.36</v>
      </c>
      <c r="E180" s="185"/>
      <c r="G180" s="272">
        <v>1553.1134199999999</v>
      </c>
      <c r="H180" s="272">
        <v>4926.0153600000003</v>
      </c>
      <c r="I180" s="272"/>
      <c r="J180" s="272">
        <v>1729.16013</v>
      </c>
      <c r="K180" s="272">
        <v>282.50885</v>
      </c>
      <c r="L180" s="272">
        <v>2155.6484599999999</v>
      </c>
      <c r="M180" s="272">
        <v>4167.3174399999998</v>
      </c>
      <c r="N180" s="272">
        <v>172.98500000000001</v>
      </c>
      <c r="O180" s="272">
        <v>19.831150000000001</v>
      </c>
      <c r="P180" s="272">
        <v>130.94137000000001</v>
      </c>
      <c r="Q180" s="272">
        <v>6.5244300000000006</v>
      </c>
      <c r="R180" s="272">
        <v>0.57877000000000001</v>
      </c>
      <c r="S180" s="272">
        <v>946.55525</v>
      </c>
      <c r="U180" s="272">
        <v>528.36838999999998</v>
      </c>
      <c r="V180" s="272">
        <v>0</v>
      </c>
      <c r="W180" s="272">
        <v>0</v>
      </c>
      <c r="X180" s="272">
        <v>418.18685999999997</v>
      </c>
      <c r="Y180" s="272">
        <v>0</v>
      </c>
      <c r="Z180" s="272">
        <v>0</v>
      </c>
      <c r="AA180" s="272">
        <v>0</v>
      </c>
      <c r="AB180" s="272">
        <v>418.18685999999997</v>
      </c>
      <c r="AD180" s="272">
        <v>5991.8907499999996</v>
      </c>
      <c r="AE180" s="157">
        <v>826.32</v>
      </c>
      <c r="AF180" s="184">
        <v>-120.235</v>
      </c>
      <c r="AG180" s="272">
        <v>-1179.624</v>
      </c>
      <c r="AH180" s="272">
        <v>442.01299999999998</v>
      </c>
      <c r="AI180" s="184">
        <v>295</v>
      </c>
      <c r="AJ180" s="272">
        <v>1834.6610000000001</v>
      </c>
      <c r="AL180" s="272">
        <v>7177.8922500000008</v>
      </c>
      <c r="AM180" s="184">
        <v>315.577</v>
      </c>
      <c r="AN180" s="272">
        <v>311.26600000000002</v>
      </c>
      <c r="AO180" s="343">
        <v>910</v>
      </c>
      <c r="AP180" s="332">
        <v>9.1</v>
      </c>
      <c r="AQ180" s="448"/>
      <c r="AS180" s="455">
        <v>1454.4695300000001</v>
      </c>
      <c r="AT180" s="272">
        <v>5345.4770099999996</v>
      </c>
      <c r="AU180" s="450"/>
      <c r="AV180" s="334">
        <v>1600.9918500000001</v>
      </c>
      <c r="AW180" s="334">
        <v>246.68235999999999</v>
      </c>
      <c r="AX180" s="334">
        <v>2235.3860399999999</v>
      </c>
      <c r="AY180" s="334">
        <v>4083.06025</v>
      </c>
      <c r="AZ180" s="334">
        <v>627.09199999999998</v>
      </c>
      <c r="BA180" s="272">
        <v>17.371230000000001</v>
      </c>
      <c r="BB180" s="333">
        <v>231.96034</v>
      </c>
      <c r="BC180" s="272">
        <v>5.6003599999999993</v>
      </c>
      <c r="BD180" s="272">
        <v>0.51227</v>
      </c>
      <c r="BE180" s="334">
        <v>627.77889000000005</v>
      </c>
      <c r="BG180" s="331">
        <v>695.82418000000007</v>
      </c>
      <c r="BH180" s="331">
        <v>0</v>
      </c>
      <c r="BI180" s="331">
        <v>0</v>
      </c>
      <c r="BJ180" s="334">
        <v>-68.045289999999994</v>
      </c>
      <c r="BK180" s="331">
        <v>0</v>
      </c>
      <c r="BL180" s="331">
        <v>0</v>
      </c>
      <c r="BM180" s="331">
        <v>0</v>
      </c>
      <c r="BN180" s="334">
        <v>-68.045289999999994</v>
      </c>
      <c r="BP180" s="334">
        <v>5923.8454599999995</v>
      </c>
      <c r="BQ180" s="311">
        <v>629.43709999999999</v>
      </c>
      <c r="BR180" s="272">
        <v>1.65821</v>
      </c>
      <c r="BS180" s="461">
        <v>-2744.6147599999999</v>
      </c>
      <c r="BT180" s="272">
        <v>308.58346</v>
      </c>
      <c r="BU180" s="272">
        <v>0</v>
      </c>
      <c r="BV180" s="333">
        <v>598.54393999999991</v>
      </c>
      <c r="BX180" s="272">
        <v>7281.6582500000004</v>
      </c>
      <c r="BY180" s="469">
        <v>-30.058250000000001</v>
      </c>
      <c r="BZ180" s="469">
        <v>103.76600000000001</v>
      </c>
      <c r="CA180" s="552"/>
      <c r="CB180" s="335">
        <v>9.1</v>
      </c>
      <c r="CC180" s="471">
        <f t="shared" si="2"/>
        <v>9.1</v>
      </c>
      <c r="CD180" s="558"/>
      <c r="CE180" s="272"/>
      <c r="CF180" s="262"/>
      <c r="CI180" s="158">
        <v>0</v>
      </c>
      <c r="CJ180" s="331">
        <v>621.31101722690437</v>
      </c>
      <c r="CK180" s="331">
        <v>558.41023269918423</v>
      </c>
      <c r="CL180" s="331">
        <v>602.72583291562</v>
      </c>
      <c r="CM180" s="472">
        <v>800.37952727066863</v>
      </c>
      <c r="CN180" s="472">
        <v>921.04153968747232</v>
      </c>
      <c r="CO180" s="480">
        <v>-138.613</v>
      </c>
      <c r="CP180" s="557"/>
      <c r="CQ180" s="474">
        <v>84.319310000000002</v>
      </c>
      <c r="CR180" s="474">
        <v>18.13514</v>
      </c>
    </row>
    <row r="181" spans="1:96" x14ac:dyDescent="0.2">
      <c r="A181" s="154">
        <v>854</v>
      </c>
      <c r="B181" s="156" t="s">
        <v>208</v>
      </c>
      <c r="C181" s="325">
        <v>3253</v>
      </c>
      <c r="D181" s="270">
        <v>8.6099999999999977</v>
      </c>
      <c r="E181" s="185"/>
      <c r="G181" s="272">
        <v>2240.5617499999998</v>
      </c>
      <c r="H181" s="272">
        <v>11337.880220000001</v>
      </c>
      <c r="I181" s="272"/>
      <c r="J181" s="272">
        <v>5345.8751700000003</v>
      </c>
      <c r="K181" s="272">
        <v>854.65506999999991</v>
      </c>
      <c r="L181" s="272">
        <v>1029.1380100000001</v>
      </c>
      <c r="M181" s="272">
        <v>7229.6682499999997</v>
      </c>
      <c r="N181" s="272">
        <v>3560.7919999999999</v>
      </c>
      <c r="O181" s="272">
        <v>38.060050000000004</v>
      </c>
      <c r="P181" s="272">
        <v>96.593089999999989</v>
      </c>
      <c r="Q181" s="272">
        <v>371.69729999999998</v>
      </c>
      <c r="R181" s="272">
        <v>5.15374</v>
      </c>
      <c r="S181" s="272">
        <v>2001.1523</v>
      </c>
      <c r="U181" s="272">
        <v>1069.9184399999999</v>
      </c>
      <c r="V181" s="272">
        <v>0</v>
      </c>
      <c r="W181" s="272">
        <v>0</v>
      </c>
      <c r="X181" s="272">
        <v>931.23385999999994</v>
      </c>
      <c r="Y181" s="272">
        <v>-52.3</v>
      </c>
      <c r="Z181" s="272">
        <v>0</v>
      </c>
      <c r="AA181" s="272">
        <v>0</v>
      </c>
      <c r="AB181" s="272">
        <v>983.53386</v>
      </c>
      <c r="AD181" s="272">
        <v>2463.4494800000002</v>
      </c>
      <c r="AE181" s="157">
        <v>1942.73542</v>
      </c>
      <c r="AF181" s="184">
        <v>-58.416879999999999</v>
      </c>
      <c r="AG181" s="272">
        <v>-594.27869999999996</v>
      </c>
      <c r="AH181" s="272">
        <v>30.553849999999997</v>
      </c>
      <c r="AI181" s="184">
        <v>62.467800000000004</v>
      </c>
      <c r="AJ181" s="272">
        <v>212.50089000000003</v>
      </c>
      <c r="AL181" s="272">
        <v>2248.0989999999997</v>
      </c>
      <c r="AM181" s="184">
        <v>10.17076</v>
      </c>
      <c r="AN181" s="272">
        <v>-1228.5119999999999</v>
      </c>
      <c r="AO181" s="343">
        <v>3191</v>
      </c>
      <c r="AP181" s="332">
        <v>9</v>
      </c>
      <c r="AQ181" s="448"/>
      <c r="AS181" s="455">
        <v>2191.1542000000004</v>
      </c>
      <c r="AT181" s="272">
        <v>11455.289349999999</v>
      </c>
      <c r="AU181" s="450"/>
      <c r="AV181" s="334">
        <v>5406.4330799999998</v>
      </c>
      <c r="AW181" s="334">
        <v>893.85003000000006</v>
      </c>
      <c r="AX181" s="334">
        <v>1211.0965200000001</v>
      </c>
      <c r="AY181" s="334">
        <v>7511.3796299999995</v>
      </c>
      <c r="AZ181" s="334">
        <v>2144.4569999999999</v>
      </c>
      <c r="BA181" s="272">
        <v>37.186690000000006</v>
      </c>
      <c r="BB181" s="333">
        <v>93.348369999999989</v>
      </c>
      <c r="BC181" s="272">
        <v>423.81673000000001</v>
      </c>
      <c r="BD181" s="272">
        <v>2.1196700000000002</v>
      </c>
      <c r="BE181" s="334">
        <v>757.23685999999998</v>
      </c>
      <c r="BG181" s="331">
        <v>1116.54288</v>
      </c>
      <c r="BH181" s="331">
        <v>0</v>
      </c>
      <c r="BI181" s="331">
        <v>0</v>
      </c>
      <c r="BJ181" s="334">
        <v>-359.30602000000005</v>
      </c>
      <c r="BK181" s="334">
        <v>-52.3</v>
      </c>
      <c r="BL181" s="331">
        <v>0</v>
      </c>
      <c r="BM181" s="331">
        <v>0</v>
      </c>
      <c r="BN181" s="334">
        <v>-307.00602000000003</v>
      </c>
      <c r="BP181" s="334">
        <v>2156.44346</v>
      </c>
      <c r="BQ181" s="311">
        <v>757.23685999999998</v>
      </c>
      <c r="BR181" s="272">
        <v>0</v>
      </c>
      <c r="BS181" s="461">
        <v>-400.03292999999996</v>
      </c>
      <c r="BT181" s="272">
        <v>29.98</v>
      </c>
      <c r="BU181" s="272">
        <v>0</v>
      </c>
      <c r="BV181" s="333">
        <v>719.22744000000012</v>
      </c>
      <c r="BX181" s="272">
        <v>2055.4369999999999</v>
      </c>
      <c r="BY181" s="469">
        <v>70</v>
      </c>
      <c r="BZ181" s="469">
        <v>-192.66200000000001</v>
      </c>
      <c r="CA181" s="552"/>
      <c r="CB181" s="335">
        <v>9</v>
      </c>
      <c r="CC181" s="471">
        <f t="shared" si="2"/>
        <v>9</v>
      </c>
      <c r="CD181" s="558"/>
      <c r="CE181" s="272"/>
      <c r="CF181" s="262"/>
      <c r="CI181" s="158">
        <v>0</v>
      </c>
      <c r="CJ181" s="331">
        <v>3024.0567993088357</v>
      </c>
      <c r="CK181" s="331">
        <v>2870.3034060638665</v>
      </c>
      <c r="CL181" s="331">
        <v>2969.6040708518335</v>
      </c>
      <c r="CM181" s="472">
        <v>3444.1198315134152</v>
      </c>
      <c r="CN181" s="472">
        <v>3621.5274423004753</v>
      </c>
      <c r="CO181" s="480">
        <v>-9.86</v>
      </c>
      <c r="CP181" s="557"/>
      <c r="CQ181" s="474">
        <v>0</v>
      </c>
      <c r="CR181" s="474">
        <v>0</v>
      </c>
    </row>
    <row r="182" spans="1:96" x14ac:dyDescent="0.2">
      <c r="A182" s="154">
        <v>584</v>
      </c>
      <c r="B182" s="156" t="s">
        <v>209</v>
      </c>
      <c r="C182" s="325">
        <v>2578</v>
      </c>
      <c r="D182" s="270">
        <v>8.86</v>
      </c>
      <c r="E182" s="185"/>
      <c r="G182" s="272">
        <v>2615.6533799999997</v>
      </c>
      <c r="H182" s="272">
        <v>12184.270480000001</v>
      </c>
      <c r="I182" s="272"/>
      <c r="J182" s="272">
        <v>3432.8573300000003</v>
      </c>
      <c r="K182" s="272">
        <v>664.82074</v>
      </c>
      <c r="L182" s="272">
        <v>929.0319300000001</v>
      </c>
      <c r="M182" s="272">
        <v>5026.71</v>
      </c>
      <c r="N182" s="272">
        <v>5676.7730000000001</v>
      </c>
      <c r="O182" s="272">
        <v>162.71464</v>
      </c>
      <c r="P182" s="272">
        <v>306.49308000000002</v>
      </c>
      <c r="Q182" s="272">
        <v>492.30508000000003</v>
      </c>
      <c r="R182" s="272">
        <v>138.27701999999999</v>
      </c>
      <c r="S182" s="272">
        <v>1345.1155200000001</v>
      </c>
      <c r="U182" s="272">
        <v>1415.85924</v>
      </c>
      <c r="V182" s="272">
        <v>0</v>
      </c>
      <c r="W182" s="272">
        <v>0</v>
      </c>
      <c r="X182" s="272">
        <v>-70.743719999999996</v>
      </c>
      <c r="Y182" s="272">
        <v>-3.5476799999999997</v>
      </c>
      <c r="Z182" s="272">
        <v>0</v>
      </c>
      <c r="AA182" s="272">
        <v>0</v>
      </c>
      <c r="AB182" s="272">
        <v>-67.196039999999996</v>
      </c>
      <c r="AD182" s="272">
        <v>4578.7322299999996</v>
      </c>
      <c r="AE182" s="157">
        <v>1336.4218500000002</v>
      </c>
      <c r="AF182" s="184">
        <v>-8.6936700000000009</v>
      </c>
      <c r="AG182" s="272">
        <v>-2296.4681700000001</v>
      </c>
      <c r="AH182" s="272">
        <v>230.80803</v>
      </c>
      <c r="AI182" s="184">
        <v>10.388999999999999</v>
      </c>
      <c r="AJ182" s="272">
        <v>8500.6387300000006</v>
      </c>
      <c r="AL182" s="272">
        <v>19504.323999999997</v>
      </c>
      <c r="AM182" s="184">
        <v>0</v>
      </c>
      <c r="AN182" s="272">
        <v>2406.9960000000001</v>
      </c>
      <c r="AO182" s="343">
        <v>2594</v>
      </c>
      <c r="AP182" s="332">
        <v>9.3000000000000007</v>
      </c>
      <c r="AQ182" s="448"/>
      <c r="AS182" s="455">
        <v>2345.8551400000001</v>
      </c>
      <c r="AT182" s="272">
        <v>11567.314319999999</v>
      </c>
      <c r="AU182" s="450"/>
      <c r="AV182" s="334">
        <v>3686.1464100000003</v>
      </c>
      <c r="AW182" s="334">
        <v>621.35984999999994</v>
      </c>
      <c r="AX182" s="334">
        <v>1062.5577800000001</v>
      </c>
      <c r="AY182" s="334">
        <v>5370.0640400000002</v>
      </c>
      <c r="AZ182" s="334">
        <v>5347.4842099999996</v>
      </c>
      <c r="BA182" s="272">
        <v>893.31299999999999</v>
      </c>
      <c r="BB182" s="333">
        <v>482.41639000000004</v>
      </c>
      <c r="BC182" s="272">
        <v>18.567740000000001</v>
      </c>
      <c r="BD182" s="272">
        <v>75.754600000000011</v>
      </c>
      <c r="BE182" s="334">
        <v>1849.79882</v>
      </c>
      <c r="BG182" s="331">
        <v>1345.57007</v>
      </c>
      <c r="BH182" s="331">
        <v>0</v>
      </c>
      <c r="BI182" s="331">
        <v>0</v>
      </c>
      <c r="BJ182" s="334">
        <v>504.22874999999999</v>
      </c>
      <c r="BK182" s="334">
        <v>-3.5476799999999997</v>
      </c>
      <c r="BL182" s="331">
        <v>0</v>
      </c>
      <c r="BM182" s="331">
        <v>0</v>
      </c>
      <c r="BN182" s="334">
        <v>507.77643</v>
      </c>
      <c r="BP182" s="334">
        <v>5086.5086600000004</v>
      </c>
      <c r="BQ182" s="311">
        <v>1846.5336000000002</v>
      </c>
      <c r="BR182" s="272">
        <v>-3.2652199999999998</v>
      </c>
      <c r="BS182" s="461">
        <v>-2569.4853800000001</v>
      </c>
      <c r="BT182" s="272">
        <v>375</v>
      </c>
      <c r="BU182" s="272">
        <v>5.4124999999999996</v>
      </c>
      <c r="BV182" s="333">
        <v>9535.8323700000001</v>
      </c>
      <c r="BX182" s="272">
        <v>20905.437999999998</v>
      </c>
      <c r="BY182" s="469">
        <v>0</v>
      </c>
      <c r="BZ182" s="469">
        <v>1401.114</v>
      </c>
      <c r="CA182" s="552"/>
      <c r="CB182" s="335">
        <v>9.3000000000000007</v>
      </c>
      <c r="CC182" s="471">
        <f t="shared" si="2"/>
        <v>9.3000000000000007</v>
      </c>
      <c r="CD182" s="558"/>
      <c r="CE182" s="272"/>
      <c r="CF182" s="262"/>
      <c r="CI182" s="158">
        <v>0</v>
      </c>
      <c r="CJ182" s="331">
        <v>5608.3201413586621</v>
      </c>
      <c r="CK182" s="331">
        <v>5724.0856895584157</v>
      </c>
      <c r="CL182" s="331">
        <v>5853.436408358134</v>
      </c>
      <c r="CM182" s="472">
        <v>5907.0684279166171</v>
      </c>
      <c r="CN182" s="472">
        <v>5890.6191960715132</v>
      </c>
      <c r="CO182" s="480">
        <v>347.911</v>
      </c>
      <c r="CP182" s="557"/>
      <c r="CQ182" s="474">
        <v>0</v>
      </c>
      <c r="CR182" s="474">
        <v>0</v>
      </c>
    </row>
    <row r="183" spans="1:96" x14ac:dyDescent="0.2">
      <c r="A183" s="154">
        <v>588</v>
      </c>
      <c r="B183" s="156" t="s">
        <v>210</v>
      </c>
      <c r="C183" s="325">
        <v>1577</v>
      </c>
      <c r="D183" s="270">
        <v>8.86</v>
      </c>
      <c r="E183" s="185"/>
      <c r="G183" s="272">
        <v>1501.9799399999999</v>
      </c>
      <c r="H183" s="272">
        <v>5388.6204699999998</v>
      </c>
      <c r="I183" s="272"/>
      <c r="J183" s="272">
        <v>2518.74289</v>
      </c>
      <c r="K183" s="272">
        <v>659.63386000000003</v>
      </c>
      <c r="L183" s="272">
        <v>988.40862000000004</v>
      </c>
      <c r="M183" s="272">
        <v>4166.7853700000005</v>
      </c>
      <c r="N183" s="272">
        <v>-141.58000000000001</v>
      </c>
      <c r="O183" s="272">
        <v>8.3922399999999993</v>
      </c>
      <c r="P183" s="272">
        <v>281.36149</v>
      </c>
      <c r="Q183" s="272">
        <v>91.327389999999994</v>
      </c>
      <c r="R183" s="272">
        <v>0.62634000000000001</v>
      </c>
      <c r="S183" s="272">
        <v>-43.703360000000004</v>
      </c>
      <c r="U183" s="272">
        <v>413.88130000000001</v>
      </c>
      <c r="V183" s="272">
        <v>973.20245999999997</v>
      </c>
      <c r="W183" s="272">
        <v>0</v>
      </c>
      <c r="X183" s="272">
        <v>515.61779999999999</v>
      </c>
      <c r="Y183" s="272">
        <v>0</v>
      </c>
      <c r="Z183" s="272">
        <v>0</v>
      </c>
      <c r="AA183" s="272">
        <v>0</v>
      </c>
      <c r="AB183" s="272">
        <v>515.61779999999999</v>
      </c>
      <c r="AD183" s="272">
        <v>-2921.3136800000002</v>
      </c>
      <c r="AE183" s="157">
        <v>-91.083179999999999</v>
      </c>
      <c r="AF183" s="184">
        <v>-1020.5822800000001</v>
      </c>
      <c r="AG183" s="272">
        <v>-16.290649999999999</v>
      </c>
      <c r="AH183" s="272">
        <v>0</v>
      </c>
      <c r="AI183" s="184">
        <v>1011</v>
      </c>
      <c r="AJ183" s="272">
        <v>1349.3237199999999</v>
      </c>
      <c r="AL183" s="272">
        <v>7732.9262399999998</v>
      </c>
      <c r="AM183" s="184">
        <v>6</v>
      </c>
      <c r="AN183" s="272">
        <v>-79.586679999999987</v>
      </c>
      <c r="AO183" s="343">
        <v>1525</v>
      </c>
      <c r="AP183" s="332">
        <v>8.9</v>
      </c>
      <c r="AQ183" s="448"/>
      <c r="AS183" s="455">
        <v>1262.9167</v>
      </c>
      <c r="AT183" s="272">
        <v>5009.6600499999995</v>
      </c>
      <c r="AU183" s="450"/>
      <c r="AV183" s="334">
        <v>2362.51802</v>
      </c>
      <c r="AW183" s="334">
        <v>580.24062000000004</v>
      </c>
      <c r="AX183" s="334">
        <v>1059.46984</v>
      </c>
      <c r="AY183" s="334">
        <v>4002.2284799999998</v>
      </c>
      <c r="AZ183" s="334">
        <v>-549.76199999999994</v>
      </c>
      <c r="BA183" s="272">
        <v>9.2240000000000002</v>
      </c>
      <c r="BB183" s="333">
        <v>321.16285999999997</v>
      </c>
      <c r="BC183" s="272">
        <v>166.29991000000001</v>
      </c>
      <c r="BD183" s="272">
        <v>0.10664</v>
      </c>
      <c r="BE183" s="334">
        <v>-440.02246000000002</v>
      </c>
      <c r="BG183" s="331">
        <v>379.81319999999999</v>
      </c>
      <c r="BH183" s="331">
        <v>0</v>
      </c>
      <c r="BI183" s="334">
        <v>0</v>
      </c>
      <c r="BJ183" s="334">
        <v>-819.83566000000008</v>
      </c>
      <c r="BK183" s="334">
        <v>0</v>
      </c>
      <c r="BL183" s="331">
        <v>0</v>
      </c>
      <c r="BM183" s="331">
        <v>0</v>
      </c>
      <c r="BN183" s="334">
        <v>-819.83566000000008</v>
      </c>
      <c r="BP183" s="334">
        <v>-3741.1493400000004</v>
      </c>
      <c r="BQ183" s="311">
        <v>-440.02246000000002</v>
      </c>
      <c r="BR183" s="272">
        <v>0</v>
      </c>
      <c r="BS183" s="461">
        <v>-32.734919999999995</v>
      </c>
      <c r="BT183" s="272">
        <v>0</v>
      </c>
      <c r="BU183" s="272">
        <v>19.399999999999999</v>
      </c>
      <c r="BV183" s="333">
        <v>353.81228000000004</v>
      </c>
      <c r="BX183" s="272">
        <v>7353.3395600000003</v>
      </c>
      <c r="BY183" s="469">
        <v>1.677</v>
      </c>
      <c r="BZ183" s="469">
        <v>-379.58668</v>
      </c>
      <c r="CA183" s="552"/>
      <c r="CB183" s="335" t="s">
        <v>463</v>
      </c>
      <c r="CC183" s="471" t="str">
        <f t="shared" si="2"/>
        <v>-</v>
      </c>
      <c r="CD183" s="558"/>
      <c r="CE183" s="272"/>
      <c r="CF183" s="262"/>
      <c r="CI183" s="158">
        <v>0</v>
      </c>
      <c r="CJ183" s="331" t="s">
        <v>463</v>
      </c>
      <c r="CK183" s="331" t="s">
        <v>463</v>
      </c>
      <c r="CL183" s="331" t="s">
        <v>463</v>
      </c>
      <c r="CM183" s="472" t="s">
        <v>463</v>
      </c>
      <c r="CN183" s="472" t="s">
        <v>463</v>
      </c>
      <c r="CO183" s="480" t="s">
        <v>463</v>
      </c>
      <c r="CP183" s="557"/>
      <c r="CQ183" s="474">
        <v>0</v>
      </c>
      <c r="CR183" s="474">
        <v>0</v>
      </c>
    </row>
    <row r="184" spans="1:96" x14ac:dyDescent="0.2">
      <c r="A184" s="154">
        <v>592</v>
      </c>
      <c r="B184" s="156" t="s">
        <v>211</v>
      </c>
      <c r="C184" s="325">
        <v>3596</v>
      </c>
      <c r="D184" s="270">
        <v>9.11</v>
      </c>
      <c r="E184" s="185"/>
      <c r="G184" s="272">
        <v>2917.1088599999998</v>
      </c>
      <c r="H184" s="272">
        <v>14614.17108</v>
      </c>
      <c r="I184" s="272"/>
      <c r="J184" s="272">
        <v>6495.49071</v>
      </c>
      <c r="K184" s="272">
        <v>916.11176</v>
      </c>
      <c r="L184" s="272">
        <v>1144.0922499999999</v>
      </c>
      <c r="M184" s="272">
        <v>8555.6947200000013</v>
      </c>
      <c r="N184" s="272">
        <v>4688.5770000000002</v>
      </c>
      <c r="O184" s="272">
        <v>6.23306</v>
      </c>
      <c r="P184" s="272">
        <v>595.74371999999994</v>
      </c>
      <c r="Q184" s="272">
        <v>500.61523999999997</v>
      </c>
      <c r="R184" s="272">
        <v>172.72173999999998</v>
      </c>
      <c r="S184" s="272">
        <v>1324.4974</v>
      </c>
      <c r="U184" s="272">
        <v>1118.8266799999999</v>
      </c>
      <c r="V184" s="272">
        <v>0</v>
      </c>
      <c r="W184" s="272">
        <v>0</v>
      </c>
      <c r="X184" s="272">
        <v>205.67071999999999</v>
      </c>
      <c r="Y184" s="272">
        <v>-9.7548999999999992</v>
      </c>
      <c r="Z184" s="272">
        <v>0</v>
      </c>
      <c r="AA184" s="272">
        <v>0</v>
      </c>
      <c r="AB184" s="272">
        <v>215.42562000000001</v>
      </c>
      <c r="AD184" s="272">
        <v>2341.0358700000006</v>
      </c>
      <c r="AE184" s="157">
        <v>1230.65077</v>
      </c>
      <c r="AF184" s="184">
        <v>-93.846639999999994</v>
      </c>
      <c r="AG184" s="272">
        <v>-1206.44082</v>
      </c>
      <c r="AH184" s="272">
        <v>49.318730000000002</v>
      </c>
      <c r="AI184" s="184">
        <v>152.8425</v>
      </c>
      <c r="AJ184" s="272">
        <v>5867.5238899999995</v>
      </c>
      <c r="AL184" s="272">
        <v>17254.542999999998</v>
      </c>
      <c r="AM184" s="184">
        <v>-74.16</v>
      </c>
      <c r="AN184" s="272">
        <v>1526.27</v>
      </c>
      <c r="AO184" s="343">
        <v>3552</v>
      </c>
      <c r="AP184" s="332">
        <v>9.9000000000000021</v>
      </c>
      <c r="AQ184" s="448"/>
      <c r="AS184" s="455">
        <v>2595.0149200000001</v>
      </c>
      <c r="AT184" s="272">
        <v>13982.88155</v>
      </c>
      <c r="AU184" s="450"/>
      <c r="AV184" s="334">
        <v>6432.6583300000002</v>
      </c>
      <c r="AW184" s="334">
        <v>344.24599999999998</v>
      </c>
      <c r="AX184" s="334">
        <v>1669.1925900000001</v>
      </c>
      <c r="AY184" s="334">
        <v>8446.09692</v>
      </c>
      <c r="AZ184" s="334">
        <v>3232.6689999999999</v>
      </c>
      <c r="BA184" s="272">
        <v>17.269400000000001</v>
      </c>
      <c r="BB184" s="333">
        <v>663.21647999999993</v>
      </c>
      <c r="BC184" s="272">
        <v>285.93286000000001</v>
      </c>
      <c r="BD184" s="272">
        <v>9.6989999999999998</v>
      </c>
      <c r="BE184" s="334">
        <v>-78.813929999999999</v>
      </c>
      <c r="BG184" s="331">
        <v>1050.42236</v>
      </c>
      <c r="BH184" s="331">
        <v>0</v>
      </c>
      <c r="BI184" s="331">
        <v>0</v>
      </c>
      <c r="BJ184" s="334">
        <v>-1129.2362900000001</v>
      </c>
      <c r="BK184" s="334">
        <v>-9.7548999999999992</v>
      </c>
      <c r="BL184" s="331">
        <v>0</v>
      </c>
      <c r="BM184" s="331">
        <v>0</v>
      </c>
      <c r="BN184" s="334">
        <v>-1119.4813899999999</v>
      </c>
      <c r="BP184" s="334">
        <v>1221.5544800000002</v>
      </c>
      <c r="BQ184" s="311">
        <v>-68.081710000000001</v>
      </c>
      <c r="BR184" s="272">
        <v>10.73222</v>
      </c>
      <c r="BS184" s="461">
        <v>-615.02240000000006</v>
      </c>
      <c r="BT184" s="272">
        <v>111.99997</v>
      </c>
      <c r="BU184" s="272">
        <v>0.2</v>
      </c>
      <c r="BV184" s="333">
        <v>5689.5350699999999</v>
      </c>
      <c r="BX184" s="272">
        <v>18230.812999999998</v>
      </c>
      <c r="BY184" s="469">
        <v>0</v>
      </c>
      <c r="BZ184" s="469">
        <v>976.27</v>
      </c>
      <c r="CA184" s="552"/>
      <c r="CB184" s="335">
        <v>9.9</v>
      </c>
      <c r="CC184" s="471">
        <f t="shared" si="2"/>
        <v>9.9</v>
      </c>
      <c r="CD184" s="558"/>
      <c r="CE184" s="272"/>
      <c r="CF184" s="262"/>
      <c r="CI184" s="158">
        <v>0</v>
      </c>
      <c r="CJ184" s="331">
        <v>3712.2840909586789</v>
      </c>
      <c r="CK184" s="331">
        <v>3670.6562202461355</v>
      </c>
      <c r="CL184" s="331">
        <v>3668.9418090876866</v>
      </c>
      <c r="CM184" s="472">
        <v>3824.9880454850722</v>
      </c>
      <c r="CN184" s="472">
        <v>3906.4487838153509</v>
      </c>
      <c r="CO184" s="480">
        <v>52.606000000000002</v>
      </c>
      <c r="CP184" s="557"/>
      <c r="CQ184" s="474">
        <v>38.905059999999999</v>
      </c>
      <c r="CR184" s="474">
        <v>0</v>
      </c>
    </row>
    <row r="185" spans="1:96" x14ac:dyDescent="0.2">
      <c r="A185" s="154">
        <v>593</v>
      </c>
      <c r="B185" s="156" t="s">
        <v>212</v>
      </c>
      <c r="C185" s="325">
        <v>17050</v>
      </c>
      <c r="D185" s="270">
        <v>9.36</v>
      </c>
      <c r="E185" s="185"/>
      <c r="G185" s="272">
        <v>13538.82416</v>
      </c>
      <c r="H185" s="272">
        <v>50654.857909999999</v>
      </c>
      <c r="I185" s="272"/>
      <c r="J185" s="272">
        <v>31387.678390000001</v>
      </c>
      <c r="K185" s="272">
        <v>4174.0398399999995</v>
      </c>
      <c r="L185" s="272">
        <v>5055.3076300000002</v>
      </c>
      <c r="M185" s="272">
        <v>40617.025860000002</v>
      </c>
      <c r="N185" s="272">
        <v>5251.9279999999999</v>
      </c>
      <c r="O185" s="272">
        <v>720.81300999999996</v>
      </c>
      <c r="P185" s="272">
        <v>1391.0756100000001</v>
      </c>
      <c r="Q185" s="272">
        <v>1039.9176199999999</v>
      </c>
      <c r="R185" s="272">
        <v>205.48617000000002</v>
      </c>
      <c r="S185" s="272">
        <v>8939.7649600000004</v>
      </c>
      <c r="U185" s="272">
        <v>6268.3506500000003</v>
      </c>
      <c r="V185" s="272">
        <v>694.06259</v>
      </c>
      <c r="W185" s="272">
        <v>0</v>
      </c>
      <c r="X185" s="272">
        <v>3365.4769000000001</v>
      </c>
      <c r="Y185" s="272">
        <v>-14.476929999999999</v>
      </c>
      <c r="Z185" s="272">
        <v>0</v>
      </c>
      <c r="AA185" s="272">
        <v>0</v>
      </c>
      <c r="AB185" s="272">
        <v>3379.9538299999999</v>
      </c>
      <c r="AD185" s="272">
        <v>14235.76684</v>
      </c>
      <c r="AE185" s="157">
        <v>11251.222890000001</v>
      </c>
      <c r="AF185" s="184">
        <v>2311.45793</v>
      </c>
      <c r="AG185" s="272">
        <v>-6916.4976399999996</v>
      </c>
      <c r="AH185" s="272">
        <v>321.08616999999998</v>
      </c>
      <c r="AI185" s="184">
        <v>322.31117999999998</v>
      </c>
      <c r="AJ185" s="272">
        <v>1020.4509499999999</v>
      </c>
      <c r="AL185" s="272">
        <v>81189.532000000007</v>
      </c>
      <c r="AM185" s="184">
        <v>-76.817189999999997</v>
      </c>
      <c r="AN185" s="272">
        <v>2297.9940000000001</v>
      </c>
      <c r="AO185" s="343">
        <v>17178</v>
      </c>
      <c r="AP185" s="332">
        <v>9.4</v>
      </c>
      <c r="AQ185" s="448"/>
      <c r="AS185" s="455">
        <v>14513.11347</v>
      </c>
      <c r="AT185" s="272">
        <v>48462.976549999999</v>
      </c>
      <c r="AU185" s="450"/>
      <c r="AV185" s="334">
        <v>32077.470989999998</v>
      </c>
      <c r="AW185" s="334">
        <v>3299.6030000000001</v>
      </c>
      <c r="AX185" s="334">
        <v>5196.8292000000001</v>
      </c>
      <c r="AY185" s="334">
        <v>40573.903189999997</v>
      </c>
      <c r="AZ185" s="334">
        <v>2319.5720000000001</v>
      </c>
      <c r="BA185" s="272">
        <v>820.46316999999999</v>
      </c>
      <c r="BB185" s="333">
        <v>1582.1431299999999</v>
      </c>
      <c r="BC185" s="272">
        <v>1902.0638600000002</v>
      </c>
      <c r="BD185" s="272">
        <v>11.816139999999999</v>
      </c>
      <c r="BE185" s="334">
        <v>10120.819869999999</v>
      </c>
      <c r="BG185" s="331">
        <v>6033.9282199999998</v>
      </c>
      <c r="BH185" s="331">
        <v>0</v>
      </c>
      <c r="BI185" s="331">
        <v>0</v>
      </c>
      <c r="BJ185" s="334">
        <v>4086.89165</v>
      </c>
      <c r="BK185" s="331">
        <v>-14.476959999999998</v>
      </c>
      <c r="BL185" s="331">
        <v>0</v>
      </c>
      <c r="BM185" s="331">
        <v>0</v>
      </c>
      <c r="BN185" s="334">
        <v>4101.3686099999995</v>
      </c>
      <c r="BP185" s="334">
        <v>18337.135449999998</v>
      </c>
      <c r="BQ185" s="311">
        <v>9596.3950199999999</v>
      </c>
      <c r="BR185" s="272">
        <v>-524.42484999999999</v>
      </c>
      <c r="BS185" s="461">
        <v>-7058.8234199999997</v>
      </c>
      <c r="BT185" s="272">
        <v>152.16055</v>
      </c>
      <c r="BU185" s="272">
        <v>330.88377000000003</v>
      </c>
      <c r="BV185" s="333">
        <v>3715.1934900000001</v>
      </c>
      <c r="BX185" s="272">
        <v>80087.525999999998</v>
      </c>
      <c r="BY185" s="469">
        <v>473.666</v>
      </c>
      <c r="BZ185" s="469">
        <v>-1102.0060000000001</v>
      </c>
      <c r="CA185" s="552"/>
      <c r="CB185" s="335">
        <v>9.4</v>
      </c>
      <c r="CC185" s="471">
        <f t="shared" si="2"/>
        <v>9.4</v>
      </c>
      <c r="CD185" s="558"/>
      <c r="CE185" s="272"/>
      <c r="CF185" s="262"/>
      <c r="CI185" s="158">
        <v>0</v>
      </c>
      <c r="CJ185" s="331">
        <v>6232.1914619312647</v>
      </c>
      <c r="CK185" s="331">
        <v>7799.1313359224387</v>
      </c>
      <c r="CL185" s="331">
        <v>7410.6258136342767</v>
      </c>
      <c r="CM185" s="472">
        <v>8273.4667192265115</v>
      </c>
      <c r="CN185" s="472">
        <v>8212.0746056664375</v>
      </c>
      <c r="CO185" s="480">
        <v>-279.51900000000001</v>
      </c>
      <c r="CP185" s="557"/>
      <c r="CQ185" s="474">
        <v>22.675999999999998</v>
      </c>
      <c r="CR185" s="474">
        <v>48.64</v>
      </c>
    </row>
    <row r="186" spans="1:96" x14ac:dyDescent="0.2">
      <c r="A186" s="154">
        <v>595</v>
      </c>
      <c r="B186" s="156" t="s">
        <v>213</v>
      </c>
      <c r="C186" s="325">
        <v>4073</v>
      </c>
      <c r="D186" s="270">
        <v>9.1100000000000012</v>
      </c>
      <c r="E186" s="185"/>
      <c r="G186" s="272">
        <v>4317.9224100000001</v>
      </c>
      <c r="H186" s="272">
        <v>16096.69781</v>
      </c>
      <c r="I186" s="272"/>
      <c r="J186" s="272">
        <v>5457.3516500000005</v>
      </c>
      <c r="K186" s="272">
        <v>1443.48614</v>
      </c>
      <c r="L186" s="272">
        <v>1226.77774</v>
      </c>
      <c r="M186" s="272">
        <v>8127.61553</v>
      </c>
      <c r="N186" s="272">
        <v>5460.2539999999999</v>
      </c>
      <c r="O186" s="272">
        <v>195.27681000000001</v>
      </c>
      <c r="P186" s="272">
        <v>254.04805999999999</v>
      </c>
      <c r="Q186" s="272">
        <v>765.98644999999999</v>
      </c>
      <c r="R186" s="272">
        <v>1.3248</v>
      </c>
      <c r="S186" s="272">
        <v>2514.9845299999997</v>
      </c>
      <c r="U186" s="272">
        <v>1687.85761</v>
      </c>
      <c r="V186" s="272">
        <v>0</v>
      </c>
      <c r="W186" s="272">
        <v>0</v>
      </c>
      <c r="X186" s="272">
        <v>827.12692000000004</v>
      </c>
      <c r="Y186" s="272">
        <v>0</v>
      </c>
      <c r="Z186" s="272">
        <v>800</v>
      </c>
      <c r="AA186" s="272">
        <v>0</v>
      </c>
      <c r="AB186" s="272">
        <v>27.126919999999998</v>
      </c>
      <c r="AD186" s="272">
        <v>4936.7635799999998</v>
      </c>
      <c r="AE186" s="157">
        <v>3096.1160299999997</v>
      </c>
      <c r="AF186" s="184">
        <v>581.13149999999996</v>
      </c>
      <c r="AG186" s="272">
        <v>-844.25116000000003</v>
      </c>
      <c r="AH186" s="272">
        <v>8</v>
      </c>
      <c r="AI186" s="184">
        <v>71.35457000000001</v>
      </c>
      <c r="AJ186" s="272">
        <v>10235.527880000001</v>
      </c>
      <c r="AL186" s="272">
        <v>10332.77614</v>
      </c>
      <c r="AM186" s="184">
        <v>0</v>
      </c>
      <c r="AN186" s="272">
        <v>-504.36599999999999</v>
      </c>
      <c r="AO186" s="343">
        <v>3980</v>
      </c>
      <c r="AP186" s="332">
        <v>9.1000000000000014</v>
      </c>
      <c r="AQ186" s="448"/>
      <c r="AS186" s="455">
        <v>4243.6390000000001</v>
      </c>
      <c r="AT186" s="272">
        <v>15415.558300000001</v>
      </c>
      <c r="AU186" s="450"/>
      <c r="AV186" s="334">
        <v>5732.2133200000007</v>
      </c>
      <c r="AW186" s="334">
        <v>1227.76388</v>
      </c>
      <c r="AX186" s="334">
        <v>1354.4264599999999</v>
      </c>
      <c r="AY186" s="334">
        <v>8314.4036599999999</v>
      </c>
      <c r="AZ186" s="334">
        <v>5542.692</v>
      </c>
      <c r="BA186" s="272">
        <v>239.39793</v>
      </c>
      <c r="BB186" s="333">
        <v>268.68200000000002</v>
      </c>
      <c r="BC186" s="272">
        <v>934.51893999999993</v>
      </c>
      <c r="BD186" s="272">
        <v>1.18428</v>
      </c>
      <c r="BE186" s="334">
        <v>3589.2269500000002</v>
      </c>
      <c r="BG186" s="331">
        <v>2635.7133900000003</v>
      </c>
      <c r="BH186" s="331">
        <v>0</v>
      </c>
      <c r="BI186" s="331">
        <v>0</v>
      </c>
      <c r="BJ186" s="334">
        <v>953.5135600000001</v>
      </c>
      <c r="BK186" s="334">
        <v>0</v>
      </c>
      <c r="BL186" s="331">
        <v>950</v>
      </c>
      <c r="BM186" s="331">
        <v>0</v>
      </c>
      <c r="BN186" s="334">
        <v>3.51356</v>
      </c>
      <c r="BP186" s="334">
        <v>4940.2771399999992</v>
      </c>
      <c r="BQ186" s="311">
        <v>3441.93759</v>
      </c>
      <c r="BR186" s="272">
        <v>-147.28935999999999</v>
      </c>
      <c r="BS186" s="461">
        <v>-1593.00371</v>
      </c>
      <c r="BT186" s="272">
        <v>36</v>
      </c>
      <c r="BU186" s="272">
        <v>37.942599999999999</v>
      </c>
      <c r="BV186" s="333">
        <v>11617.12167</v>
      </c>
      <c r="BX186" s="272">
        <v>9819.2961400000004</v>
      </c>
      <c r="BY186" s="469">
        <v>8.5</v>
      </c>
      <c r="BZ186" s="469">
        <v>-513.48</v>
      </c>
      <c r="CA186" s="552"/>
      <c r="CB186" s="335">
        <v>9.1</v>
      </c>
      <c r="CC186" s="471">
        <f t="shared" si="2"/>
        <v>9.1</v>
      </c>
      <c r="CD186" s="558"/>
      <c r="CE186" s="272"/>
      <c r="CF186" s="262"/>
      <c r="CI186" s="158">
        <v>0</v>
      </c>
      <c r="CJ186" s="331">
        <v>5549.6564078066085</v>
      </c>
      <c r="CK186" s="331">
        <v>5453.9360768838242</v>
      </c>
      <c r="CL186" s="331">
        <v>5387.9638235420589</v>
      </c>
      <c r="CM186" s="472">
        <v>5677.9152555903011</v>
      </c>
      <c r="CN186" s="472">
        <v>5659.0372503651497</v>
      </c>
      <c r="CO186" s="480">
        <v>-13.461</v>
      </c>
      <c r="CP186" s="557"/>
      <c r="CQ186" s="474">
        <v>0</v>
      </c>
      <c r="CR186" s="474">
        <v>0</v>
      </c>
    </row>
    <row r="187" spans="1:96" x14ac:dyDescent="0.2">
      <c r="A187" s="154">
        <v>598</v>
      </c>
      <c r="B187" s="156" t="s">
        <v>214</v>
      </c>
      <c r="C187" s="325">
        <v>19475</v>
      </c>
      <c r="D187" s="270">
        <v>8.61</v>
      </c>
      <c r="E187" s="185"/>
      <c r="G187" s="272">
        <v>22489.38681</v>
      </c>
      <c r="H187" s="272">
        <v>75943.71789</v>
      </c>
      <c r="I187" s="272"/>
      <c r="J187" s="272">
        <v>37568.325579999997</v>
      </c>
      <c r="K187" s="272">
        <v>8236.6880999999994</v>
      </c>
      <c r="L187" s="272">
        <v>7589.2866699999995</v>
      </c>
      <c r="M187" s="272">
        <v>53394.300350000005</v>
      </c>
      <c r="N187" s="272">
        <v>8796.0400000000009</v>
      </c>
      <c r="O187" s="272">
        <v>1193.77025</v>
      </c>
      <c r="P187" s="272">
        <v>2530.22057</v>
      </c>
      <c r="Q187" s="272">
        <v>4275.0477499999997</v>
      </c>
      <c r="R187" s="272">
        <v>517.08516999999995</v>
      </c>
      <c r="S187" s="272">
        <v>11656.72624</v>
      </c>
      <c r="U187" s="272">
        <v>6993.6378199999999</v>
      </c>
      <c r="V187" s="272">
        <v>0</v>
      </c>
      <c r="W187" s="272">
        <v>0</v>
      </c>
      <c r="X187" s="272">
        <v>4663.08842</v>
      </c>
      <c r="Y187" s="272">
        <v>0</v>
      </c>
      <c r="Z187" s="272">
        <v>2900</v>
      </c>
      <c r="AA187" s="272">
        <v>0</v>
      </c>
      <c r="AB187" s="272">
        <v>1763.0884199999998</v>
      </c>
      <c r="AD187" s="272">
        <v>66195.040249999991</v>
      </c>
      <c r="AE187" s="157">
        <v>11432.634</v>
      </c>
      <c r="AF187" s="184">
        <v>-224.09200000000001</v>
      </c>
      <c r="AG187" s="272">
        <v>-8417.7520000000004</v>
      </c>
      <c r="AH187" s="272">
        <v>410.47899999999998</v>
      </c>
      <c r="AI187" s="184">
        <v>226.7</v>
      </c>
      <c r="AJ187" s="272">
        <v>2380.9299999999998</v>
      </c>
      <c r="AL187" s="272">
        <v>79000</v>
      </c>
      <c r="AM187" s="184">
        <v>-447.95800000000003</v>
      </c>
      <c r="AN187" s="272">
        <v>12500</v>
      </c>
      <c r="AO187" s="343">
        <v>19576</v>
      </c>
      <c r="AP187" s="332">
        <v>9</v>
      </c>
      <c r="AQ187" s="448"/>
      <c r="AS187" s="455">
        <v>23398.40019</v>
      </c>
      <c r="AT187" s="272">
        <v>76608.005669999999</v>
      </c>
      <c r="AU187" s="450"/>
      <c r="AV187" s="334">
        <v>38282.569340000002</v>
      </c>
      <c r="AW187" s="334">
        <v>7652.3954599999997</v>
      </c>
      <c r="AX187" s="334">
        <v>7851.3910400000004</v>
      </c>
      <c r="AY187" s="334">
        <v>53786.355840000004</v>
      </c>
      <c r="AZ187" s="334">
        <v>5543.4616299999998</v>
      </c>
      <c r="BA187" s="272">
        <v>1621.6698600000002</v>
      </c>
      <c r="BB187" s="333">
        <v>2753.8850600000001</v>
      </c>
      <c r="BC187" s="272">
        <v>3318.2563500000001</v>
      </c>
      <c r="BD187" s="272">
        <v>26.622019999999999</v>
      </c>
      <c r="BE187" s="334">
        <v>8897.4035500000009</v>
      </c>
      <c r="BG187" s="331">
        <v>6890.5309200000002</v>
      </c>
      <c r="BH187" s="331">
        <v>0</v>
      </c>
      <c r="BI187" s="334">
        <v>0</v>
      </c>
      <c r="BJ187" s="334">
        <v>2006.8726299999998</v>
      </c>
      <c r="BK187" s="331">
        <v>0</v>
      </c>
      <c r="BL187" s="331">
        <v>400</v>
      </c>
      <c r="BM187" s="331">
        <v>0</v>
      </c>
      <c r="BN187" s="334">
        <v>1606.8726299999998</v>
      </c>
      <c r="BP187" s="334">
        <v>68097.066510000004</v>
      </c>
      <c r="BQ187" s="311">
        <v>8347.9085500000001</v>
      </c>
      <c r="BR187" s="272">
        <v>-549.495</v>
      </c>
      <c r="BS187" s="461">
        <v>-10164.33848</v>
      </c>
      <c r="BT187" s="272">
        <v>719.88068999999996</v>
      </c>
      <c r="BU187" s="272">
        <v>619.04753000000005</v>
      </c>
      <c r="BV187" s="333">
        <v>5639.8674099999998</v>
      </c>
      <c r="BX187" s="272">
        <v>90000</v>
      </c>
      <c r="BY187" s="469">
        <v>-9521.7708199999997</v>
      </c>
      <c r="BZ187" s="469">
        <v>11000</v>
      </c>
      <c r="CA187" s="552"/>
      <c r="CB187" s="335">
        <v>9</v>
      </c>
      <c r="CC187" s="471">
        <f t="shared" si="2"/>
        <v>9</v>
      </c>
      <c r="CD187" s="558"/>
      <c r="CE187" s="272"/>
      <c r="CF187" s="262"/>
      <c r="CI187" s="158">
        <v>0</v>
      </c>
      <c r="CJ187" s="331">
        <v>9846.7570820422752</v>
      </c>
      <c r="CK187" s="331">
        <v>11855.032364444562</v>
      </c>
      <c r="CL187" s="331">
        <v>12398.997299218732</v>
      </c>
      <c r="CM187" s="472">
        <v>14024.128825234971</v>
      </c>
      <c r="CN187" s="472">
        <v>14776.235227409179</v>
      </c>
      <c r="CO187" s="480">
        <v>3744.5149999999999</v>
      </c>
      <c r="CP187" s="557"/>
      <c r="CQ187" s="474">
        <v>499.20471000000003</v>
      </c>
      <c r="CR187" s="474">
        <v>617.7724300000001</v>
      </c>
    </row>
    <row r="188" spans="1:96" x14ac:dyDescent="0.2">
      <c r="A188" s="154">
        <v>601</v>
      </c>
      <c r="B188" s="156" t="s">
        <v>215</v>
      </c>
      <c r="C188" s="325">
        <v>3739</v>
      </c>
      <c r="D188" s="270">
        <v>8.3600000000000012</v>
      </c>
      <c r="E188" s="185"/>
      <c r="G188" s="272">
        <v>5349.7095099999997</v>
      </c>
      <c r="H188" s="272">
        <v>16355.734380000002</v>
      </c>
      <c r="I188" s="272"/>
      <c r="J188" s="272">
        <v>5214.0389999999998</v>
      </c>
      <c r="K188" s="272">
        <v>1988.143</v>
      </c>
      <c r="L188" s="272">
        <v>1189.0820000000001</v>
      </c>
      <c r="M188" s="272">
        <v>8391.2639999999992</v>
      </c>
      <c r="N188" s="272">
        <v>6113.3379999999997</v>
      </c>
      <c r="O188" s="272">
        <v>54.218710000000002</v>
      </c>
      <c r="P188" s="272">
        <v>553.23820999999998</v>
      </c>
      <c r="Q188" s="272">
        <v>51.420940000000002</v>
      </c>
      <c r="R188" s="272">
        <v>61.587890000000002</v>
      </c>
      <c r="S188" s="272">
        <v>2989.39068</v>
      </c>
      <c r="U188" s="272">
        <v>1694.0332900000001</v>
      </c>
      <c r="V188" s="272">
        <v>0</v>
      </c>
      <c r="W188" s="272">
        <v>0</v>
      </c>
      <c r="X188" s="272">
        <v>1295.3573899999999</v>
      </c>
      <c r="Y188" s="272">
        <v>-58.757190000000001</v>
      </c>
      <c r="Z188" s="272">
        <v>0</v>
      </c>
      <c r="AA188" s="272">
        <v>0</v>
      </c>
      <c r="AB188" s="272">
        <v>1354.1145800000002</v>
      </c>
      <c r="AD188" s="272">
        <v>8135.0423799999999</v>
      </c>
      <c r="AE188" s="157">
        <v>2984.52502</v>
      </c>
      <c r="AF188" s="184">
        <v>-4.8656600000000001</v>
      </c>
      <c r="AG188" s="272">
        <v>-2064.4032999999999</v>
      </c>
      <c r="AH188" s="272">
        <v>131.9402</v>
      </c>
      <c r="AI188" s="184">
        <v>258.63117</v>
      </c>
      <c r="AJ188" s="272">
        <v>7357.9645199999995</v>
      </c>
      <c r="AL188" s="272">
        <v>18170.983</v>
      </c>
      <c r="AM188" s="184">
        <v>0</v>
      </c>
      <c r="AN188" s="272">
        <v>-2760.0839999999998</v>
      </c>
      <c r="AO188" s="343">
        <v>3692</v>
      </c>
      <c r="AP188" s="332">
        <v>8.4</v>
      </c>
      <c r="AQ188" s="448"/>
      <c r="AS188" s="455">
        <v>4661.4068399999996</v>
      </c>
      <c r="AT188" s="272">
        <v>15788.398499999999</v>
      </c>
      <c r="AU188" s="450"/>
      <c r="AV188" s="334">
        <v>5337.4650000000001</v>
      </c>
      <c r="AW188" s="334">
        <v>1738.2840000000001</v>
      </c>
      <c r="AX188" s="334">
        <v>1290.636</v>
      </c>
      <c r="AY188" s="334">
        <v>8366.3850000000002</v>
      </c>
      <c r="AZ188" s="334">
        <v>5188.4040000000005</v>
      </c>
      <c r="BA188" s="272">
        <v>255.46780999999999</v>
      </c>
      <c r="BB188" s="333">
        <v>595.57866000000001</v>
      </c>
      <c r="BC188" s="272">
        <v>63.746010000000005</v>
      </c>
      <c r="BD188" s="272">
        <v>6.4734300000000005</v>
      </c>
      <c r="BE188" s="334">
        <v>2144.9590699999999</v>
      </c>
      <c r="BG188" s="331">
        <v>1792.38571</v>
      </c>
      <c r="BH188" s="334">
        <v>0</v>
      </c>
      <c r="BI188" s="334">
        <v>4.1249200000000004</v>
      </c>
      <c r="BJ188" s="334">
        <v>348.44844000000001</v>
      </c>
      <c r="BK188" s="331">
        <v>-74.018600000000006</v>
      </c>
      <c r="BL188" s="331">
        <v>0</v>
      </c>
      <c r="BM188" s="331">
        <v>0</v>
      </c>
      <c r="BN188" s="334">
        <v>422.46704</v>
      </c>
      <c r="BP188" s="334">
        <v>8557.5094200000003</v>
      </c>
      <c r="BQ188" s="311">
        <v>2134.6551099999997</v>
      </c>
      <c r="BR188" s="272">
        <v>-6.1790399999999996</v>
      </c>
      <c r="BS188" s="461">
        <v>-1407.5219399999999</v>
      </c>
      <c r="BT188" s="272">
        <v>32.065719999999999</v>
      </c>
      <c r="BU188" s="272">
        <v>6.7476000000000003</v>
      </c>
      <c r="BV188" s="333">
        <v>6694.1850299999996</v>
      </c>
      <c r="BX188" s="272">
        <v>16910.899000000001</v>
      </c>
      <c r="BY188" s="469">
        <v>0</v>
      </c>
      <c r="BZ188" s="469">
        <v>-1260.0840000000001</v>
      </c>
      <c r="CA188" s="552"/>
      <c r="CB188" s="335">
        <v>8.9</v>
      </c>
      <c r="CC188" s="471">
        <f t="shared" si="2"/>
        <v>8.9</v>
      </c>
      <c r="CD188" s="558"/>
      <c r="CE188" s="272"/>
      <c r="CF188" s="262"/>
      <c r="CG188" s="260"/>
      <c r="CI188" s="158">
        <v>0</v>
      </c>
      <c r="CJ188" s="331">
        <v>5457.1604412303886</v>
      </c>
      <c r="CK188" s="331">
        <v>5234.6387084792441</v>
      </c>
      <c r="CL188" s="331">
        <v>5337.9055144689892</v>
      </c>
      <c r="CM188" s="472">
        <v>5488.726939291515</v>
      </c>
      <c r="CN188" s="472">
        <v>5704.8080209708587</v>
      </c>
      <c r="CO188" s="480">
        <v>332.762</v>
      </c>
      <c r="CP188" s="557"/>
      <c r="CQ188" s="474">
        <v>0</v>
      </c>
      <c r="CR188" s="474">
        <v>0</v>
      </c>
    </row>
    <row r="189" spans="1:96" x14ac:dyDescent="0.2">
      <c r="A189" s="154">
        <v>604</v>
      </c>
      <c r="B189" s="156" t="s">
        <v>216</v>
      </c>
      <c r="C189" s="325">
        <v>20763</v>
      </c>
      <c r="D189" s="270">
        <v>7.86</v>
      </c>
      <c r="E189" s="185"/>
      <c r="G189" s="272">
        <v>12543.389800000001</v>
      </c>
      <c r="H189" s="272">
        <v>71523.425099999993</v>
      </c>
      <c r="I189" s="272"/>
      <c r="J189" s="272">
        <v>48351.164380000002</v>
      </c>
      <c r="K189" s="272">
        <v>6620.9989000000005</v>
      </c>
      <c r="L189" s="272">
        <v>6930.9395800000002</v>
      </c>
      <c r="M189" s="272">
        <v>61903.102859999999</v>
      </c>
      <c r="N189" s="272">
        <v>16175.627</v>
      </c>
      <c r="O189" s="272">
        <v>13.320040000000001</v>
      </c>
      <c r="P189" s="272">
        <v>1510.3567800000001</v>
      </c>
      <c r="Q189" s="272">
        <v>438.33796000000001</v>
      </c>
      <c r="R189" s="272">
        <v>12.263680000000001</v>
      </c>
      <c r="S189" s="272">
        <v>18027.732100000001</v>
      </c>
      <c r="U189" s="272">
        <v>10482.015029999999</v>
      </c>
      <c r="V189" s="272">
        <v>0</v>
      </c>
      <c r="W189" s="272">
        <v>0</v>
      </c>
      <c r="X189" s="272">
        <v>7545.7170700000006</v>
      </c>
      <c r="Y189" s="272">
        <v>-620</v>
      </c>
      <c r="Z189" s="272">
        <v>0</v>
      </c>
      <c r="AA189" s="272">
        <v>0</v>
      </c>
      <c r="AB189" s="272">
        <v>8165.7170700000006</v>
      </c>
      <c r="AD189" s="272">
        <v>57803.356099999997</v>
      </c>
      <c r="AE189" s="157">
        <v>18022.732100000001</v>
      </c>
      <c r="AF189" s="184">
        <v>-5</v>
      </c>
      <c r="AG189" s="272">
        <v>-18306.429379999998</v>
      </c>
      <c r="AH189" s="272">
        <v>884.48699999999997</v>
      </c>
      <c r="AI189" s="184">
        <v>16.04</v>
      </c>
      <c r="AJ189" s="272">
        <v>3951.7690200000002</v>
      </c>
      <c r="AL189" s="272">
        <v>65425.000020000007</v>
      </c>
      <c r="AM189" s="184">
        <v>0</v>
      </c>
      <c r="AN189" s="272">
        <v>-850</v>
      </c>
      <c r="AO189" s="343">
        <v>21042</v>
      </c>
      <c r="AP189" s="332">
        <v>7.9</v>
      </c>
      <c r="AQ189" s="448"/>
      <c r="AS189" s="455">
        <v>13468.85073</v>
      </c>
      <c r="AT189" s="272">
        <v>75939.064270000003</v>
      </c>
      <c r="AU189" s="450"/>
      <c r="AV189" s="334">
        <v>45629.178690000001</v>
      </c>
      <c r="AW189" s="334">
        <v>5614.5950000000003</v>
      </c>
      <c r="AX189" s="334">
        <v>7247.4273300000004</v>
      </c>
      <c r="AY189" s="334">
        <v>58491.20102</v>
      </c>
      <c r="AZ189" s="334">
        <v>15533.565000000001</v>
      </c>
      <c r="BA189" s="272">
        <v>1.30372</v>
      </c>
      <c r="BB189" s="333">
        <v>881.18905000000007</v>
      </c>
      <c r="BC189" s="272">
        <v>349.87745000000001</v>
      </c>
      <c r="BD189" s="272">
        <v>22.65493</v>
      </c>
      <c r="BE189" s="334">
        <v>11001.88967</v>
      </c>
      <c r="BG189" s="331">
        <v>10978.929249999999</v>
      </c>
      <c r="BH189" s="331">
        <v>0</v>
      </c>
      <c r="BI189" s="331">
        <v>0</v>
      </c>
      <c r="BJ189" s="334">
        <v>22.960419999999999</v>
      </c>
      <c r="BK189" s="334">
        <v>-620</v>
      </c>
      <c r="BL189" s="331">
        <v>0</v>
      </c>
      <c r="BM189" s="331">
        <v>0</v>
      </c>
      <c r="BN189" s="334">
        <v>642.96042</v>
      </c>
      <c r="BP189" s="334">
        <v>58446.31652</v>
      </c>
      <c r="BQ189" s="311">
        <v>10228.00115</v>
      </c>
      <c r="BR189" s="272">
        <v>-773.88851999999997</v>
      </c>
      <c r="BS189" s="461">
        <v>-23211.554359999998</v>
      </c>
      <c r="BT189" s="272">
        <v>858.42100000000005</v>
      </c>
      <c r="BU189" s="272">
        <v>894.20349999999996</v>
      </c>
      <c r="BV189" s="333">
        <v>8802.8551800000005</v>
      </c>
      <c r="BX189" s="272">
        <v>82175.000020000007</v>
      </c>
      <c r="BY189" s="469">
        <v>0</v>
      </c>
      <c r="BZ189" s="469">
        <v>16750</v>
      </c>
      <c r="CA189" s="552"/>
      <c r="CB189" s="335">
        <v>7.9</v>
      </c>
      <c r="CC189" s="471">
        <f t="shared" si="2"/>
        <v>7.9</v>
      </c>
      <c r="CD189" s="558"/>
      <c r="CE189" s="272"/>
      <c r="CF189" s="262"/>
      <c r="CI189" s="158">
        <v>0</v>
      </c>
      <c r="CJ189" s="331">
        <v>16529.677367592725</v>
      </c>
      <c r="CK189" s="331">
        <v>16565.631592388741</v>
      </c>
      <c r="CL189" s="331">
        <v>16511.159981634803</v>
      </c>
      <c r="CM189" s="472">
        <v>17890.815774177448</v>
      </c>
      <c r="CN189" s="472">
        <v>17961.00519323839</v>
      </c>
      <c r="CO189" s="480">
        <v>-2441.808</v>
      </c>
      <c r="CP189" s="557"/>
      <c r="CQ189" s="474">
        <v>0</v>
      </c>
      <c r="CR189" s="474">
        <v>0</v>
      </c>
    </row>
    <row r="190" spans="1:96" x14ac:dyDescent="0.2">
      <c r="A190" s="154">
        <v>607</v>
      </c>
      <c r="B190" s="156" t="s">
        <v>217</v>
      </c>
      <c r="C190" s="325">
        <v>4064</v>
      </c>
      <c r="D190" s="270">
        <v>7.61</v>
      </c>
      <c r="E190" s="185"/>
      <c r="G190" s="272">
        <v>3105.63492</v>
      </c>
      <c r="H190" s="272">
        <v>13522.939279999999</v>
      </c>
      <c r="I190" s="272"/>
      <c r="J190" s="272">
        <v>4532.3934200000003</v>
      </c>
      <c r="K190" s="272">
        <v>1318.4602600000001</v>
      </c>
      <c r="L190" s="272">
        <v>938.85615000000007</v>
      </c>
      <c r="M190" s="272">
        <v>6789.7098299999998</v>
      </c>
      <c r="N190" s="272">
        <v>3628.4332200000003</v>
      </c>
      <c r="O190" s="272">
        <v>19.973490000000002</v>
      </c>
      <c r="P190" s="272">
        <v>157.84949</v>
      </c>
      <c r="Q190" s="272">
        <v>249.29458</v>
      </c>
      <c r="R190" s="272">
        <v>8.5647900000000003</v>
      </c>
      <c r="S190" s="272">
        <v>103.69247999999999</v>
      </c>
      <c r="U190" s="272">
        <v>3534.4636499999997</v>
      </c>
      <c r="V190" s="272">
        <v>0</v>
      </c>
      <c r="W190" s="272">
        <v>0</v>
      </c>
      <c r="X190" s="272">
        <v>-3430.77117</v>
      </c>
      <c r="Y190" s="272">
        <v>-650.16320999999994</v>
      </c>
      <c r="Z190" s="272">
        <v>0</v>
      </c>
      <c r="AA190" s="272">
        <v>0</v>
      </c>
      <c r="AB190" s="272">
        <v>-2780.6079599999998</v>
      </c>
      <c r="AD190" s="272">
        <v>2311.1799999999998</v>
      </c>
      <c r="AE190" s="157">
        <v>-1118.0450000000001</v>
      </c>
      <c r="AF190" s="184">
        <v>0</v>
      </c>
      <c r="AG190" s="272">
        <v>-9034.7420000000002</v>
      </c>
      <c r="AH190" s="272">
        <v>2743.0349999999999</v>
      </c>
      <c r="AI190" s="184">
        <v>7.2359999999999998</v>
      </c>
      <c r="AJ190" s="272">
        <v>736.87400000000002</v>
      </c>
      <c r="AL190" s="272">
        <v>10007.7976</v>
      </c>
      <c r="AM190" s="184">
        <v>36.222999999999999</v>
      </c>
      <c r="AN190" s="272">
        <v>4599.4290000000001</v>
      </c>
      <c r="AO190" s="343">
        <v>3999</v>
      </c>
      <c r="AP190" s="332">
        <v>8.5</v>
      </c>
      <c r="AQ190" s="448"/>
      <c r="AS190" s="455">
        <v>2913.3082599999998</v>
      </c>
      <c r="AT190" s="272">
        <v>13200.0952</v>
      </c>
      <c r="AU190" s="450"/>
      <c r="AV190" s="334">
        <v>5516.6575400000002</v>
      </c>
      <c r="AW190" s="334">
        <v>1001.59736</v>
      </c>
      <c r="AX190" s="334">
        <v>1020.01886</v>
      </c>
      <c r="AY190" s="334">
        <v>7538.27376</v>
      </c>
      <c r="AZ190" s="334">
        <v>2728.4349999999999</v>
      </c>
      <c r="BA190" s="272">
        <v>15.108030000000001</v>
      </c>
      <c r="BB190" s="333">
        <v>402.63299999999998</v>
      </c>
      <c r="BC190" s="272">
        <v>250.05382</v>
      </c>
      <c r="BD190" s="272">
        <v>9.4102300000000003</v>
      </c>
      <c r="BE190" s="334">
        <v>-166.95956000000001</v>
      </c>
      <c r="BG190" s="331">
        <v>1626.4730099999999</v>
      </c>
      <c r="BH190" s="334">
        <v>0</v>
      </c>
      <c r="BI190" s="331">
        <v>0</v>
      </c>
      <c r="BJ190" s="334">
        <v>-1793.4325700000002</v>
      </c>
      <c r="BK190" s="331">
        <v>2544.7897200000002</v>
      </c>
      <c r="BL190" s="331">
        <v>-3050</v>
      </c>
      <c r="BM190" s="331">
        <v>0</v>
      </c>
      <c r="BN190" s="334">
        <v>-1288.2222899999999</v>
      </c>
      <c r="BP190" s="334">
        <v>1022.9577099999999</v>
      </c>
      <c r="BQ190" s="311">
        <v>-171.773</v>
      </c>
      <c r="BR190" s="272">
        <v>-4.8129999999999997</v>
      </c>
      <c r="BS190" s="461">
        <v>-3791.5993699999999</v>
      </c>
      <c r="BT190" s="272">
        <v>659.78300000000002</v>
      </c>
      <c r="BU190" s="272">
        <v>76.25</v>
      </c>
      <c r="BV190" s="333">
        <v>3546.4244600000002</v>
      </c>
      <c r="BX190" s="272">
        <v>16427.914000000001</v>
      </c>
      <c r="BY190" s="469">
        <v>37.567999999999998</v>
      </c>
      <c r="BZ190" s="469">
        <v>6420.116</v>
      </c>
      <c r="CA190" s="552"/>
      <c r="CB190" s="335">
        <v>9</v>
      </c>
      <c r="CC190" s="471">
        <f t="shared" si="2"/>
        <v>9</v>
      </c>
      <c r="CD190" s="558"/>
      <c r="CE190" s="272"/>
      <c r="CF190" s="262"/>
      <c r="CI190" s="158">
        <v>0</v>
      </c>
      <c r="CJ190" s="331">
        <v>2999.5976879452182</v>
      </c>
      <c r="CK190" s="331">
        <v>3314.8252445843227</v>
      </c>
      <c r="CL190" s="331">
        <v>3159.3045764742974</v>
      </c>
      <c r="CM190" s="472">
        <v>3492.176640585908</v>
      </c>
      <c r="CN190" s="472">
        <v>3563.5928651451459</v>
      </c>
      <c r="CO190" s="480">
        <v>-583.01</v>
      </c>
      <c r="CP190" s="557"/>
      <c r="CQ190" s="474">
        <v>0</v>
      </c>
      <c r="CR190" s="474">
        <v>0</v>
      </c>
    </row>
    <row r="191" spans="1:96" x14ac:dyDescent="0.2">
      <c r="A191" s="154">
        <v>608</v>
      </c>
      <c r="B191" s="156" t="s">
        <v>218</v>
      </c>
      <c r="C191" s="325">
        <v>1943</v>
      </c>
      <c r="D191" s="270">
        <v>8.86</v>
      </c>
      <c r="E191" s="185"/>
      <c r="G191" s="272">
        <v>1677.1743899999999</v>
      </c>
      <c r="H191" s="272">
        <v>7316.0486799999999</v>
      </c>
      <c r="I191" s="272"/>
      <c r="J191" s="272">
        <v>3185.4810499999999</v>
      </c>
      <c r="K191" s="272">
        <v>539.15467000000001</v>
      </c>
      <c r="L191" s="272">
        <v>547.41956999999991</v>
      </c>
      <c r="M191" s="272">
        <v>4272.0552900000002</v>
      </c>
      <c r="N191" s="272">
        <v>2125.29</v>
      </c>
      <c r="O191" s="272">
        <v>6.7505699999999997</v>
      </c>
      <c r="P191" s="272">
        <v>78.282710000000009</v>
      </c>
      <c r="Q191" s="272">
        <v>11.46481</v>
      </c>
      <c r="R191" s="272">
        <v>6.3425699999999994</v>
      </c>
      <c r="S191" s="272">
        <v>692.06110000000001</v>
      </c>
      <c r="U191" s="272">
        <v>582.06716000000006</v>
      </c>
      <c r="V191" s="272">
        <v>0</v>
      </c>
      <c r="W191" s="272">
        <v>0</v>
      </c>
      <c r="X191" s="272">
        <v>109.99394000000001</v>
      </c>
      <c r="Y191" s="272">
        <v>0</v>
      </c>
      <c r="Z191" s="272">
        <v>0</v>
      </c>
      <c r="AA191" s="272">
        <v>0</v>
      </c>
      <c r="AB191" s="272">
        <v>109.99394000000001</v>
      </c>
      <c r="AD191" s="272">
        <v>3067.1450899999995</v>
      </c>
      <c r="AE191" s="157">
        <v>703.58361000000002</v>
      </c>
      <c r="AF191" s="184">
        <v>11.52251</v>
      </c>
      <c r="AG191" s="272">
        <v>-2077.4154699999999</v>
      </c>
      <c r="AH191" s="272">
        <v>0</v>
      </c>
      <c r="AI191" s="184">
        <v>364.05657000000002</v>
      </c>
      <c r="AJ191" s="272">
        <v>568.65145999999993</v>
      </c>
      <c r="AL191" s="272">
        <v>6664.1579999999994</v>
      </c>
      <c r="AM191" s="184">
        <v>-13.68125</v>
      </c>
      <c r="AN191" s="272">
        <v>1230.6759999999999</v>
      </c>
      <c r="AO191" s="343">
        <v>1931</v>
      </c>
      <c r="AP191" s="332">
        <v>9.9</v>
      </c>
      <c r="AQ191" s="448"/>
      <c r="AS191" s="455">
        <v>1474.2211100000002</v>
      </c>
      <c r="AT191" s="272">
        <v>7329.6078499999994</v>
      </c>
      <c r="AU191" s="450"/>
      <c r="AV191" s="334">
        <v>3383.32915</v>
      </c>
      <c r="AW191" s="334">
        <v>403.48257000000001</v>
      </c>
      <c r="AX191" s="334">
        <v>604.52341000000001</v>
      </c>
      <c r="AY191" s="334">
        <v>4391.3351299999995</v>
      </c>
      <c r="AZ191" s="334">
        <v>1583.328</v>
      </c>
      <c r="BA191" s="272">
        <v>6.7728400000000004</v>
      </c>
      <c r="BB191" s="333">
        <v>137.49871999999999</v>
      </c>
      <c r="BC191" s="272">
        <v>39.368070000000003</v>
      </c>
      <c r="BD191" s="272">
        <v>6.3966899999999995</v>
      </c>
      <c r="BE191" s="334">
        <v>21.521889999999999</v>
      </c>
      <c r="BG191" s="331">
        <v>691.38411999999994</v>
      </c>
      <c r="BH191" s="331">
        <v>0</v>
      </c>
      <c r="BI191" s="331">
        <v>0</v>
      </c>
      <c r="BJ191" s="334">
        <v>-669.86222999999995</v>
      </c>
      <c r="BK191" s="331">
        <v>0</v>
      </c>
      <c r="BL191" s="331">
        <v>0</v>
      </c>
      <c r="BM191" s="331">
        <v>0</v>
      </c>
      <c r="BN191" s="334">
        <v>-669.86222999999995</v>
      </c>
      <c r="BP191" s="334">
        <v>2397.2828599999998</v>
      </c>
      <c r="BQ191" s="311">
        <v>19.292339999999999</v>
      </c>
      <c r="BR191" s="272">
        <v>-2.2295500000000001</v>
      </c>
      <c r="BS191" s="461">
        <v>-149.43185</v>
      </c>
      <c r="BT191" s="272">
        <v>0</v>
      </c>
      <c r="BU191" s="272">
        <v>30.659929999999999</v>
      </c>
      <c r="BV191" s="333">
        <v>674.65526999999997</v>
      </c>
      <c r="BX191" s="272">
        <v>7084.8339999999998</v>
      </c>
      <c r="BY191" s="469">
        <v>-4</v>
      </c>
      <c r="BZ191" s="469">
        <v>420.67599999999999</v>
      </c>
      <c r="CA191" s="552"/>
      <c r="CB191" s="335">
        <v>10.9</v>
      </c>
      <c r="CC191" s="471">
        <f t="shared" si="2"/>
        <v>10.9</v>
      </c>
      <c r="CD191" s="558"/>
      <c r="CE191" s="272"/>
      <c r="CF191" s="262"/>
      <c r="CI191" s="158">
        <v>0</v>
      </c>
      <c r="CJ191" s="331">
        <v>1745.1174422408553</v>
      </c>
      <c r="CK191" s="331">
        <v>1727.2354150554447</v>
      </c>
      <c r="CL191" s="331">
        <v>1683.9424744528069</v>
      </c>
      <c r="CM191" s="472">
        <v>1864.0331701991809</v>
      </c>
      <c r="CN191" s="472">
        <v>1984.8376888609523</v>
      </c>
      <c r="CO191" s="480">
        <v>380.88</v>
      </c>
      <c r="CP191" s="557"/>
      <c r="CQ191" s="474">
        <v>0</v>
      </c>
      <c r="CR191" s="474">
        <v>0</v>
      </c>
    </row>
    <row r="192" spans="1:96" x14ac:dyDescent="0.2">
      <c r="A192" s="265">
        <v>609</v>
      </c>
      <c r="B192" s="262" t="s">
        <v>219</v>
      </c>
      <c r="C192" s="325">
        <v>83106</v>
      </c>
      <c r="D192" s="270">
        <v>8.36</v>
      </c>
      <c r="E192" s="311"/>
      <c r="F192" s="262"/>
      <c r="G192" s="272">
        <v>111789.91628</v>
      </c>
      <c r="H192" s="272">
        <v>292508.64361999999</v>
      </c>
      <c r="I192" s="272"/>
      <c r="J192" s="272">
        <v>154748.10669999997</v>
      </c>
      <c r="K192" s="272">
        <v>18852.855480000002</v>
      </c>
      <c r="L192" s="272">
        <v>27101.569309999999</v>
      </c>
      <c r="M192" s="272">
        <v>200702.53149000002</v>
      </c>
      <c r="N192" s="272">
        <v>24575.447</v>
      </c>
      <c r="O192" s="272">
        <v>5694.6413499999999</v>
      </c>
      <c r="P192" s="272">
        <v>8903.08302</v>
      </c>
      <c r="Q192" s="272">
        <v>2919.9280800000001</v>
      </c>
      <c r="R192" s="272">
        <v>1296.3736100000001</v>
      </c>
      <c r="S192" s="272">
        <v>46106.649189999996</v>
      </c>
      <c r="T192" s="262"/>
      <c r="U192" s="272">
        <v>31610.304789999998</v>
      </c>
      <c r="V192" s="272">
        <v>0</v>
      </c>
      <c r="W192" s="272">
        <v>0</v>
      </c>
      <c r="X192" s="272">
        <v>14496.3444</v>
      </c>
      <c r="Y192" s="272">
        <v>-33.333320000000001</v>
      </c>
      <c r="Z192" s="272">
        <v>0</v>
      </c>
      <c r="AA192" s="272">
        <v>-168.09923000000001</v>
      </c>
      <c r="AB192" s="272">
        <v>14697.776949999999</v>
      </c>
      <c r="AC192" s="262"/>
      <c r="AD192" s="272">
        <v>49631.981759999995</v>
      </c>
      <c r="AE192" s="311">
        <v>36381.142950000001</v>
      </c>
      <c r="AF192" s="272">
        <v>-9725.5062300000009</v>
      </c>
      <c r="AG192" s="272">
        <v>-70401.632859999998</v>
      </c>
      <c r="AH192" s="272">
        <v>2777.65906</v>
      </c>
      <c r="AI192" s="272">
        <v>11786.372160000001</v>
      </c>
      <c r="AJ192" s="272">
        <v>9138.0474600000016</v>
      </c>
      <c r="AK192" s="262"/>
      <c r="AL192" s="272">
        <v>328052.43044000003</v>
      </c>
      <c r="AM192" s="272">
        <v>2878.3793700000001</v>
      </c>
      <c r="AN192" s="272">
        <v>-31518.969450000001</v>
      </c>
      <c r="AO192" s="325">
        <v>83305</v>
      </c>
      <c r="AP192" s="332">
        <v>8.4</v>
      </c>
      <c r="AQ192" s="446"/>
      <c r="AS192" s="455">
        <v>107093.43</v>
      </c>
      <c r="AT192" s="272">
        <v>296418.54197000002</v>
      </c>
      <c r="AU192" s="447"/>
      <c r="AV192" s="272">
        <v>151261.59150000001</v>
      </c>
      <c r="AW192" s="272">
        <v>16740.715029999999</v>
      </c>
      <c r="AX192" s="272">
        <v>28426.750090000001</v>
      </c>
      <c r="AY192" s="272">
        <v>196429.05662000002</v>
      </c>
      <c r="AZ192" s="272">
        <v>13834.666999999999</v>
      </c>
      <c r="BA192" s="272">
        <v>5774.4535300000007</v>
      </c>
      <c r="BB192" s="272">
        <v>8944.5214800000012</v>
      </c>
      <c r="BC192" s="272">
        <v>3661.67272</v>
      </c>
      <c r="BD192" s="272">
        <v>1692.4238500000001</v>
      </c>
      <c r="BE192" s="272">
        <v>22832.269909999999</v>
      </c>
      <c r="BG192" s="272">
        <v>31352.940200000001</v>
      </c>
      <c r="BH192" s="272">
        <v>0</v>
      </c>
      <c r="BI192" s="272">
        <v>0</v>
      </c>
      <c r="BJ192" s="272">
        <v>-8520.6702899999982</v>
      </c>
      <c r="BK192" s="272">
        <v>-33.333239999999996</v>
      </c>
      <c r="BL192" s="272">
        <v>0</v>
      </c>
      <c r="BM192" s="272">
        <v>-0.93400000000000005</v>
      </c>
      <c r="BN192" s="272">
        <v>-8486.4030500000008</v>
      </c>
      <c r="BP192" s="272">
        <v>38965.670709999991</v>
      </c>
      <c r="BQ192" s="311">
        <v>15479.867</v>
      </c>
      <c r="BR192" s="272">
        <v>-7352.4029199999995</v>
      </c>
      <c r="BS192" s="272">
        <v>-48594.811099999999</v>
      </c>
      <c r="BT192" s="272">
        <v>1283.0953500000001</v>
      </c>
      <c r="BU192" s="272">
        <v>9355.2295999999988</v>
      </c>
      <c r="BV192" s="272">
        <v>1454.2549500000002</v>
      </c>
      <c r="BX192" s="272">
        <v>364599.47287</v>
      </c>
      <c r="BY192" s="469">
        <v>-3847.1390000000001</v>
      </c>
      <c r="BZ192" s="469">
        <v>36547.042430000001</v>
      </c>
      <c r="CB192" s="335">
        <v>8.6999999999999993</v>
      </c>
      <c r="CC192" s="471">
        <f t="shared" si="2"/>
        <v>8.6999999999999993</v>
      </c>
      <c r="CD192" s="558"/>
      <c r="CE192" s="272"/>
      <c r="CF192" s="262"/>
      <c r="CG192" s="262"/>
      <c r="CH192" s="262"/>
      <c r="CI192" s="262">
        <v>0</v>
      </c>
      <c r="CJ192" s="331">
        <v>22445.91825234735</v>
      </c>
      <c r="CK192" s="331">
        <v>25139.017868573479</v>
      </c>
      <c r="CL192" s="331">
        <v>24861.324189283871</v>
      </c>
      <c r="CM192" s="472">
        <v>28889.949022064633</v>
      </c>
      <c r="CN192" s="472">
        <v>30230.987935394602</v>
      </c>
      <c r="CO192" s="480">
        <v>-4074.614</v>
      </c>
      <c r="CP192" s="557"/>
      <c r="CQ192" s="474">
        <v>3132.2852400000002</v>
      </c>
      <c r="CR192" s="474">
        <v>3094.4773399999999</v>
      </c>
    </row>
    <row r="193" spans="1:96" x14ac:dyDescent="0.2">
      <c r="A193" s="154">
        <v>611</v>
      </c>
      <c r="B193" s="156" t="s">
        <v>220</v>
      </c>
      <c r="C193" s="325">
        <v>4973</v>
      </c>
      <c r="D193" s="270">
        <v>7.86</v>
      </c>
      <c r="E193" s="185"/>
      <c r="G193" s="272">
        <v>3208.3521000000001</v>
      </c>
      <c r="H193" s="272">
        <v>16790.137350000001</v>
      </c>
      <c r="I193" s="272"/>
      <c r="J193" s="272">
        <v>10148.447890000001</v>
      </c>
      <c r="K193" s="272">
        <v>535.07206000000008</v>
      </c>
      <c r="L193" s="272">
        <v>1293.4642200000001</v>
      </c>
      <c r="M193" s="272">
        <v>11976.98417</v>
      </c>
      <c r="N193" s="272">
        <v>4571.875</v>
      </c>
      <c r="O193" s="272">
        <v>0</v>
      </c>
      <c r="P193" s="272">
        <v>135.02545999999998</v>
      </c>
      <c r="Q193" s="272">
        <v>18.58353</v>
      </c>
      <c r="R193" s="272">
        <v>36.502760000000002</v>
      </c>
      <c r="S193" s="272">
        <v>2814.12923</v>
      </c>
      <c r="U193" s="272">
        <v>1839.1669999999999</v>
      </c>
      <c r="V193" s="272">
        <v>0</v>
      </c>
      <c r="W193" s="272">
        <v>48.304730000000006</v>
      </c>
      <c r="X193" s="272">
        <v>926.65750000000003</v>
      </c>
      <c r="Y193" s="272">
        <v>0</v>
      </c>
      <c r="Z193" s="272">
        <v>0</v>
      </c>
      <c r="AA193" s="272">
        <v>0</v>
      </c>
      <c r="AB193" s="272">
        <v>926.65750000000003</v>
      </c>
      <c r="AD193" s="272">
        <v>11663.092650000001</v>
      </c>
      <c r="AE193" s="157">
        <v>2925.0600299999996</v>
      </c>
      <c r="AF193" s="184">
        <v>159.23553000000001</v>
      </c>
      <c r="AG193" s="272">
        <v>-1936.9463899999998</v>
      </c>
      <c r="AH193" s="272">
        <v>0</v>
      </c>
      <c r="AI193" s="184">
        <v>150</v>
      </c>
      <c r="AJ193" s="272">
        <v>1058.4985300000001</v>
      </c>
      <c r="AL193" s="272">
        <v>5136.3739999999998</v>
      </c>
      <c r="AM193" s="184">
        <v>0</v>
      </c>
      <c r="AN193" s="272">
        <v>-690.91</v>
      </c>
      <c r="AO193" s="343">
        <v>4961</v>
      </c>
      <c r="AP193" s="332">
        <v>7.9</v>
      </c>
      <c r="AQ193" s="448"/>
      <c r="AS193" s="455">
        <v>3312.4414900000002</v>
      </c>
      <c r="AT193" s="272">
        <v>16921.257329999997</v>
      </c>
      <c r="AU193" s="450"/>
      <c r="AV193" s="334">
        <v>9569.5504399999991</v>
      </c>
      <c r="AW193" s="334">
        <v>433.65690000000001</v>
      </c>
      <c r="AX193" s="334">
        <v>1417.9293</v>
      </c>
      <c r="AY193" s="334">
        <v>11421.136640000001</v>
      </c>
      <c r="AZ193" s="334">
        <v>3676.694</v>
      </c>
      <c r="BA193" s="272">
        <v>0</v>
      </c>
      <c r="BB193" s="333">
        <v>207.11875000000001</v>
      </c>
      <c r="BC193" s="272">
        <v>24.290779999999998</v>
      </c>
      <c r="BD193" s="272">
        <v>33.306849999999997</v>
      </c>
      <c r="BE193" s="334">
        <v>1272.8799799999999</v>
      </c>
      <c r="BG193" s="331">
        <v>2004.7778400000002</v>
      </c>
      <c r="BH193" s="331">
        <v>37.376959999999997</v>
      </c>
      <c r="BI193" s="331">
        <v>18.393509999999999</v>
      </c>
      <c r="BJ193" s="334">
        <v>-712.91441000000009</v>
      </c>
      <c r="BK193" s="331">
        <v>0</v>
      </c>
      <c r="BL193" s="331">
        <v>0</v>
      </c>
      <c r="BM193" s="331">
        <v>0</v>
      </c>
      <c r="BN193" s="334">
        <v>-712.91441000000009</v>
      </c>
      <c r="BP193" s="334">
        <v>10929.02824</v>
      </c>
      <c r="BQ193" s="311">
        <v>1247.1447499999999</v>
      </c>
      <c r="BR193" s="272">
        <v>-62.141419999999997</v>
      </c>
      <c r="BS193" s="461">
        <v>-2565.3392400000002</v>
      </c>
      <c r="BT193" s="272">
        <v>0</v>
      </c>
      <c r="BU193" s="272">
        <v>0.58857999999999999</v>
      </c>
      <c r="BV193" s="333">
        <v>1341.4451399999998</v>
      </c>
      <c r="BX193" s="272">
        <v>6381.8249999999998</v>
      </c>
      <c r="BY193" s="469">
        <v>0.84465000000000001</v>
      </c>
      <c r="BZ193" s="469">
        <v>1245.451</v>
      </c>
      <c r="CA193" s="552"/>
      <c r="CB193" s="335">
        <v>7.9</v>
      </c>
      <c r="CC193" s="471">
        <f t="shared" si="2"/>
        <v>7.9</v>
      </c>
      <c r="CD193" s="558"/>
      <c r="CE193" s="272"/>
      <c r="CF193" s="262"/>
      <c r="CI193" s="158">
        <v>0</v>
      </c>
      <c r="CJ193" s="331">
        <v>3511.5008145585366</v>
      </c>
      <c r="CK193" s="331">
        <v>3037.1741359119619</v>
      </c>
      <c r="CL193" s="331">
        <v>3482.7356893166448</v>
      </c>
      <c r="CM193" s="472">
        <v>3772.4691263462441</v>
      </c>
      <c r="CN193" s="472">
        <v>3797.6346862096611</v>
      </c>
      <c r="CO193" s="480">
        <v>-1344.0740000000001</v>
      </c>
      <c r="CP193" s="557"/>
      <c r="CQ193" s="474">
        <v>0</v>
      </c>
      <c r="CR193" s="474">
        <v>0</v>
      </c>
    </row>
    <row r="194" spans="1:96" x14ac:dyDescent="0.2">
      <c r="A194" s="154">
        <v>638</v>
      </c>
      <c r="B194" s="156" t="s">
        <v>221</v>
      </c>
      <c r="C194" s="325">
        <v>51289</v>
      </c>
      <c r="D194" s="270">
        <v>7.1100000000000012</v>
      </c>
      <c r="E194" s="185"/>
      <c r="G194" s="272">
        <v>47999.515299999999</v>
      </c>
      <c r="H194" s="272">
        <v>204375.02807</v>
      </c>
      <c r="I194" s="272"/>
      <c r="J194" s="272">
        <v>101297.85295</v>
      </c>
      <c r="K194" s="272">
        <v>32268.83397</v>
      </c>
      <c r="L194" s="272">
        <v>19030.689109999999</v>
      </c>
      <c r="M194" s="272">
        <v>152597.37603000001</v>
      </c>
      <c r="N194" s="272">
        <v>47344.762999999999</v>
      </c>
      <c r="O194" s="272">
        <v>352.10703999999998</v>
      </c>
      <c r="P194" s="272">
        <v>259.95825000000002</v>
      </c>
      <c r="Q194" s="272">
        <v>3532.7582499999999</v>
      </c>
      <c r="R194" s="272">
        <v>99.87321</v>
      </c>
      <c r="S194" s="272">
        <v>48499.973170000005</v>
      </c>
      <c r="U194" s="272">
        <v>27169.187550000002</v>
      </c>
      <c r="V194" s="272">
        <v>0</v>
      </c>
      <c r="W194" s="272">
        <v>0</v>
      </c>
      <c r="X194" s="272">
        <v>21330.785620000002</v>
      </c>
      <c r="Y194" s="272">
        <v>-422.40883000000002</v>
      </c>
      <c r="Z194" s="272">
        <v>0</v>
      </c>
      <c r="AA194" s="272">
        <v>2170.53613</v>
      </c>
      <c r="AB194" s="272">
        <v>19582.658319999999</v>
      </c>
      <c r="AD194" s="272">
        <v>146279.69889999999</v>
      </c>
      <c r="AE194" s="157">
        <v>52124.549610000002</v>
      </c>
      <c r="AF194" s="184">
        <v>3624.5764399999998</v>
      </c>
      <c r="AG194" s="272">
        <v>-47504.865949999999</v>
      </c>
      <c r="AH194" s="272">
        <v>0</v>
      </c>
      <c r="AI194" s="184">
        <v>3233.3145499999996</v>
      </c>
      <c r="AJ194" s="272">
        <v>80593.952550000002</v>
      </c>
      <c r="AL194" s="272">
        <v>74597.607810000001</v>
      </c>
      <c r="AM194" s="184">
        <v>-393.23876000000001</v>
      </c>
      <c r="AN194" s="272">
        <v>-12333.35397</v>
      </c>
      <c r="AO194" s="343">
        <v>51737</v>
      </c>
      <c r="AP194" s="332">
        <v>7.1</v>
      </c>
      <c r="AQ194" s="448"/>
      <c r="AS194" s="455">
        <v>50884.945039999999</v>
      </c>
      <c r="AT194" s="272">
        <v>201691.88430999999</v>
      </c>
      <c r="AU194" s="450"/>
      <c r="AV194" s="334">
        <v>95859.654829999999</v>
      </c>
      <c r="AW194" s="334">
        <v>30398.757550000002</v>
      </c>
      <c r="AX194" s="334">
        <v>19307.53973</v>
      </c>
      <c r="AY194" s="334">
        <v>145565.95211000001</v>
      </c>
      <c r="AZ194" s="334">
        <v>46299.786999999997</v>
      </c>
      <c r="BA194" s="272">
        <v>1355.62174</v>
      </c>
      <c r="BB194" s="333">
        <v>215.68698000000001</v>
      </c>
      <c r="BC194" s="272">
        <v>4015.2070099999996</v>
      </c>
      <c r="BD194" s="272">
        <v>105.30899000000001</v>
      </c>
      <c r="BE194" s="334">
        <v>47305.588000000003</v>
      </c>
      <c r="BG194" s="331">
        <v>32096.867600000001</v>
      </c>
      <c r="BH194" s="334">
        <v>0</v>
      </c>
      <c r="BI194" s="334">
        <v>0</v>
      </c>
      <c r="BJ194" s="334">
        <v>15208.7204</v>
      </c>
      <c r="BK194" s="331">
        <v>0</v>
      </c>
      <c r="BL194" s="334">
        <v>5000</v>
      </c>
      <c r="BM194" s="334">
        <v>0</v>
      </c>
      <c r="BN194" s="334">
        <v>10208.7204</v>
      </c>
      <c r="BP194" s="334">
        <v>156488.41930000001</v>
      </c>
      <c r="BQ194" s="311">
        <v>41501.45607</v>
      </c>
      <c r="BR194" s="272">
        <v>-5804.1319299999996</v>
      </c>
      <c r="BS194" s="461">
        <v>-28383.842059999999</v>
      </c>
      <c r="BT194" s="272">
        <v>0</v>
      </c>
      <c r="BU194" s="272">
        <v>5625.66507</v>
      </c>
      <c r="BV194" s="333">
        <v>86645.05184</v>
      </c>
      <c r="BX194" s="272">
        <v>62266.803780000002</v>
      </c>
      <c r="BY194" s="469">
        <v>64.95205</v>
      </c>
      <c r="BZ194" s="469">
        <v>-12330.804029999999</v>
      </c>
      <c r="CA194" s="552"/>
      <c r="CB194" s="335">
        <v>7.1</v>
      </c>
      <c r="CC194" s="471">
        <f t="shared" si="2"/>
        <v>7.1</v>
      </c>
      <c r="CD194" s="558"/>
      <c r="CE194" s="272"/>
      <c r="CF194" s="262"/>
      <c r="CI194" s="158">
        <v>0</v>
      </c>
      <c r="CJ194" s="331">
        <v>51770.408303066382</v>
      </c>
      <c r="CK194" s="331">
        <v>52141.5815831605</v>
      </c>
      <c r="CL194" s="331">
        <v>50890.262177994919</v>
      </c>
      <c r="CM194" s="472">
        <v>53951.977280071544</v>
      </c>
      <c r="CN194" s="472">
        <v>54440.350476143445</v>
      </c>
      <c r="CO194" s="480">
        <v>232.43799999999999</v>
      </c>
      <c r="CP194" s="557"/>
      <c r="CQ194" s="474">
        <v>1408.3130800000001</v>
      </c>
      <c r="CR194" s="474">
        <v>1196.9553799999999</v>
      </c>
    </row>
    <row r="195" spans="1:96" x14ac:dyDescent="0.2">
      <c r="A195" s="154">
        <v>614</v>
      </c>
      <c r="B195" s="156" t="s">
        <v>222</v>
      </c>
      <c r="C195" s="325">
        <v>2923</v>
      </c>
      <c r="D195" s="270">
        <v>9.11</v>
      </c>
      <c r="E195" s="185"/>
      <c r="G195" s="272">
        <v>3760.08572</v>
      </c>
      <c r="H195" s="272">
        <v>12696.65832</v>
      </c>
      <c r="I195" s="272"/>
      <c r="J195" s="272">
        <v>4532.2528300000004</v>
      </c>
      <c r="K195" s="272">
        <v>735.30291</v>
      </c>
      <c r="L195" s="272">
        <v>1543.0573200000001</v>
      </c>
      <c r="M195" s="272">
        <v>6810.6130599999997</v>
      </c>
      <c r="N195" s="272">
        <v>3627.7049999999999</v>
      </c>
      <c r="O195" s="272">
        <v>54.613879999999995</v>
      </c>
      <c r="P195" s="272">
        <v>284.80865999999997</v>
      </c>
      <c r="Q195" s="272">
        <v>211.5592</v>
      </c>
      <c r="R195" s="272">
        <v>533.22036000000003</v>
      </c>
      <c r="S195" s="272">
        <v>949.88952000000006</v>
      </c>
      <c r="U195" s="272">
        <v>1288.3881200000001</v>
      </c>
      <c r="V195" s="272">
        <v>205.41601</v>
      </c>
      <c r="W195" s="272">
        <v>0</v>
      </c>
      <c r="X195" s="272">
        <v>-133.08259000000001</v>
      </c>
      <c r="Y195" s="272">
        <v>-131.25003000000001</v>
      </c>
      <c r="Z195" s="272">
        <v>0</v>
      </c>
      <c r="AA195" s="272">
        <v>0</v>
      </c>
      <c r="AB195" s="272">
        <v>-1.83256</v>
      </c>
      <c r="AD195" s="272">
        <v>6069.3304400000006</v>
      </c>
      <c r="AE195" s="157">
        <v>1274.4033999999999</v>
      </c>
      <c r="AF195" s="184">
        <v>-52.64479</v>
      </c>
      <c r="AG195" s="272">
        <v>-1022.4267199999999</v>
      </c>
      <c r="AH195" s="272">
        <v>47.5</v>
      </c>
      <c r="AI195" s="184">
        <v>60</v>
      </c>
      <c r="AJ195" s="272">
        <v>6107.9642300000005</v>
      </c>
      <c r="AL195" s="272">
        <v>9093.3165399999998</v>
      </c>
      <c r="AM195" s="184">
        <v>8.3000000000000007</v>
      </c>
      <c r="AN195" s="272">
        <v>-721.56156999999996</v>
      </c>
      <c r="AO195" s="343">
        <v>2878</v>
      </c>
      <c r="AP195" s="332">
        <v>9.1</v>
      </c>
      <c r="AQ195" s="448"/>
      <c r="AS195" s="455">
        <v>3878.4847400000003</v>
      </c>
      <c r="AT195" s="272">
        <v>12630.982800000002</v>
      </c>
      <c r="AU195" s="450"/>
      <c r="AV195" s="334">
        <v>4518.2725999999993</v>
      </c>
      <c r="AW195" s="334">
        <v>618.19601</v>
      </c>
      <c r="AX195" s="334">
        <v>2482.3811299999998</v>
      </c>
      <c r="AY195" s="334">
        <v>7618.8497400000006</v>
      </c>
      <c r="AZ195" s="334">
        <v>3451.761</v>
      </c>
      <c r="BA195" s="272">
        <v>51.798809999999996</v>
      </c>
      <c r="BB195" s="333">
        <v>291.31121999999999</v>
      </c>
      <c r="BC195" s="272">
        <v>182.28519</v>
      </c>
      <c r="BD195" s="272">
        <v>43.267679999999999</v>
      </c>
      <c r="BE195" s="334">
        <v>2217.6177799999996</v>
      </c>
      <c r="BG195" s="331">
        <v>1289.8533500000001</v>
      </c>
      <c r="BH195" s="331">
        <v>0</v>
      </c>
      <c r="BI195" s="331">
        <v>0</v>
      </c>
      <c r="BJ195" s="334">
        <v>927.76443000000006</v>
      </c>
      <c r="BK195" s="331">
        <v>-131.37404999999998</v>
      </c>
      <c r="BL195" s="331">
        <v>0</v>
      </c>
      <c r="BM195" s="331">
        <v>0</v>
      </c>
      <c r="BN195" s="334">
        <v>1059.1384800000001</v>
      </c>
      <c r="BP195" s="334">
        <v>7101.2139700000007</v>
      </c>
      <c r="BQ195" s="311">
        <v>2217.7665899999997</v>
      </c>
      <c r="BR195" s="272">
        <v>0</v>
      </c>
      <c r="BS195" s="461">
        <v>-1242.7199800000001</v>
      </c>
      <c r="BT195" s="272">
        <v>46.392199999999995</v>
      </c>
      <c r="BU195" s="272">
        <v>0</v>
      </c>
      <c r="BV195" s="333">
        <v>6987.2166799999995</v>
      </c>
      <c r="BX195" s="272">
        <v>8568.7538599999989</v>
      </c>
      <c r="BY195" s="469">
        <v>-17.501110000000001</v>
      </c>
      <c r="BZ195" s="469">
        <v>-524.46096999999997</v>
      </c>
      <c r="CA195" s="552"/>
      <c r="CB195" s="335">
        <v>9.1</v>
      </c>
      <c r="CC195" s="471">
        <f t="shared" si="2"/>
        <v>9.1</v>
      </c>
      <c r="CD195" s="558"/>
      <c r="CE195" s="272"/>
      <c r="CF195" s="262"/>
      <c r="CI195" s="158">
        <v>0</v>
      </c>
      <c r="CJ195" s="331">
        <v>3806.8852224740481</v>
      </c>
      <c r="CK195" s="331">
        <v>3835.5960856254619</v>
      </c>
      <c r="CL195" s="331">
        <v>4162.4115180983426</v>
      </c>
      <c r="CM195" s="472">
        <v>4372.6552763358968</v>
      </c>
      <c r="CN195" s="472">
        <v>4596.9447440547319</v>
      </c>
      <c r="CO195" s="480">
        <v>425.06900000000002</v>
      </c>
      <c r="CP195" s="557"/>
      <c r="CQ195" s="474">
        <v>0</v>
      </c>
      <c r="CR195" s="474">
        <v>0</v>
      </c>
    </row>
    <row r="196" spans="1:96" x14ac:dyDescent="0.2">
      <c r="A196" s="154">
        <v>615</v>
      </c>
      <c r="B196" s="156" t="s">
        <v>223</v>
      </c>
      <c r="C196" s="325">
        <v>7479</v>
      </c>
      <c r="D196" s="270">
        <v>8.36</v>
      </c>
      <c r="E196" s="185"/>
      <c r="G196" s="272">
        <v>8481.1423000000013</v>
      </c>
      <c r="H196" s="272">
        <v>38428.430249999998</v>
      </c>
      <c r="I196" s="272"/>
      <c r="J196" s="272">
        <v>9793.7056599999996</v>
      </c>
      <c r="K196" s="272">
        <v>2630.5071000000003</v>
      </c>
      <c r="L196" s="272">
        <v>2767.4114300000001</v>
      </c>
      <c r="M196" s="272">
        <v>15191.624189999999</v>
      </c>
      <c r="N196" s="272">
        <v>15240.769</v>
      </c>
      <c r="O196" s="272">
        <v>32.44764</v>
      </c>
      <c r="P196" s="272">
        <v>590.91435999999999</v>
      </c>
      <c r="Q196" s="272">
        <v>1124.1875600000001</v>
      </c>
      <c r="R196" s="272">
        <v>493.91576000000003</v>
      </c>
      <c r="S196" s="272">
        <v>556.91031999999996</v>
      </c>
      <c r="U196" s="272">
        <v>4853.0545700000002</v>
      </c>
      <c r="V196" s="272">
        <v>0</v>
      </c>
      <c r="W196" s="272">
        <v>0</v>
      </c>
      <c r="X196" s="272">
        <v>-4296.1442500000003</v>
      </c>
      <c r="Y196" s="272">
        <v>-103.26348</v>
      </c>
      <c r="Z196" s="272">
        <v>0</v>
      </c>
      <c r="AA196" s="272">
        <v>-530.62483999999995</v>
      </c>
      <c r="AB196" s="272">
        <v>-3662.2559300000003</v>
      </c>
      <c r="AD196" s="272">
        <v>-950.05040000000054</v>
      </c>
      <c r="AE196" s="157">
        <v>511.73806000000002</v>
      </c>
      <c r="AF196" s="184">
        <v>-45.172260000000001</v>
      </c>
      <c r="AG196" s="272">
        <v>-2663.6234100000001</v>
      </c>
      <c r="AH196" s="272">
        <v>174.13348999999999</v>
      </c>
      <c r="AI196" s="184">
        <v>2213.2375000000002</v>
      </c>
      <c r="AJ196" s="272">
        <v>13814.69866</v>
      </c>
      <c r="AL196" s="272">
        <v>34432.16704</v>
      </c>
      <c r="AM196" s="184">
        <v>0</v>
      </c>
      <c r="AN196" s="272">
        <v>367.08431999999999</v>
      </c>
      <c r="AO196" s="343">
        <v>7304</v>
      </c>
      <c r="AP196" s="332">
        <v>9</v>
      </c>
      <c r="AQ196" s="448"/>
      <c r="AS196" s="455">
        <v>8930.9105399999989</v>
      </c>
      <c r="AT196" s="272">
        <v>36011.649450000004</v>
      </c>
      <c r="AU196" s="450"/>
      <c r="AV196" s="334">
        <v>10496.851550000001</v>
      </c>
      <c r="AW196" s="334">
        <v>2250.4398300000003</v>
      </c>
      <c r="AX196" s="334">
        <v>2958.9851699999999</v>
      </c>
      <c r="AY196" s="334">
        <v>15706.27655</v>
      </c>
      <c r="AZ196" s="334">
        <v>15378.413</v>
      </c>
      <c r="BA196" s="272">
        <v>27.106090000000002</v>
      </c>
      <c r="BB196" s="333">
        <v>733.03724999999997</v>
      </c>
      <c r="BC196" s="272">
        <v>1166.6758799999998</v>
      </c>
      <c r="BD196" s="272">
        <v>344.72186999999997</v>
      </c>
      <c r="BE196" s="334">
        <v>4119.9734900000003</v>
      </c>
      <c r="BG196" s="331">
        <v>5073.2853600000008</v>
      </c>
      <c r="BH196" s="331">
        <v>0</v>
      </c>
      <c r="BI196" s="331">
        <v>0</v>
      </c>
      <c r="BJ196" s="334">
        <v>-953.31187</v>
      </c>
      <c r="BK196" s="334">
        <v>-103.26348</v>
      </c>
      <c r="BL196" s="334">
        <v>0</v>
      </c>
      <c r="BM196" s="331">
        <v>-278.85545000000002</v>
      </c>
      <c r="BN196" s="334">
        <v>-571.19293999999991</v>
      </c>
      <c r="BP196" s="334">
        <v>-1521.2433399999998</v>
      </c>
      <c r="BQ196" s="311">
        <v>3697.5010299999999</v>
      </c>
      <c r="BR196" s="272">
        <v>-422.47246000000001</v>
      </c>
      <c r="BS196" s="461">
        <v>-1208.7344499999999</v>
      </c>
      <c r="BT196" s="272">
        <v>0</v>
      </c>
      <c r="BU196" s="272">
        <v>626.63795999999991</v>
      </c>
      <c r="BV196" s="333">
        <v>13733.164849999999</v>
      </c>
      <c r="BX196" s="272">
        <v>31184.06295</v>
      </c>
      <c r="BY196" s="469">
        <v>0</v>
      </c>
      <c r="BZ196" s="469">
        <v>-3248.1040899999998</v>
      </c>
      <c r="CA196" s="552"/>
      <c r="CB196" s="335">
        <v>9.4999999999999982</v>
      </c>
      <c r="CC196" s="471">
        <f t="shared" ref="CC196:CC259" si="3">CB196</f>
        <v>9.4999999999999982</v>
      </c>
      <c r="CD196" s="558"/>
      <c r="CE196" s="272"/>
      <c r="CF196" s="262"/>
      <c r="CI196" s="158">
        <v>1200</v>
      </c>
      <c r="CJ196" s="331">
        <v>16529.130532366387</v>
      </c>
      <c r="CK196" s="331">
        <v>16181.716698126551</v>
      </c>
      <c r="CL196" s="331">
        <v>16471.500601454223</v>
      </c>
      <c r="CM196" s="472">
        <v>17414.153871162871</v>
      </c>
      <c r="CN196" s="472">
        <v>17741.063677727831</v>
      </c>
      <c r="CO196" s="480">
        <v>129.934</v>
      </c>
      <c r="CP196" s="557"/>
      <c r="CQ196" s="474">
        <v>0</v>
      </c>
      <c r="CR196" s="474">
        <v>0</v>
      </c>
    </row>
    <row r="197" spans="1:96" x14ac:dyDescent="0.2">
      <c r="A197" s="154">
        <v>616</v>
      </c>
      <c r="B197" s="156" t="s">
        <v>224</v>
      </c>
      <c r="C197" s="325">
        <v>1781</v>
      </c>
      <c r="D197" s="270">
        <v>8.8600000000000012</v>
      </c>
      <c r="E197" s="185"/>
      <c r="G197" s="272">
        <v>1451.12843</v>
      </c>
      <c r="H197" s="272">
        <v>6651.11067</v>
      </c>
      <c r="I197" s="272"/>
      <c r="J197" s="272">
        <v>3367.2418199999997</v>
      </c>
      <c r="K197" s="272">
        <v>251.50667999999999</v>
      </c>
      <c r="L197" s="272">
        <v>476.95471999999995</v>
      </c>
      <c r="M197" s="272">
        <v>4095.7032200000003</v>
      </c>
      <c r="N197" s="272">
        <v>1291.769</v>
      </c>
      <c r="O197" s="272">
        <v>85.93077000000001</v>
      </c>
      <c r="P197" s="272">
        <v>122.38081</v>
      </c>
      <c r="Q197" s="272">
        <v>68.046509999999998</v>
      </c>
      <c r="R197" s="272">
        <v>0.84992000000000001</v>
      </c>
      <c r="S197" s="272">
        <v>218.23652999999999</v>
      </c>
      <c r="U197" s="272">
        <v>382.64390000000003</v>
      </c>
      <c r="V197" s="272">
        <v>0</v>
      </c>
      <c r="W197" s="272">
        <v>0</v>
      </c>
      <c r="X197" s="272">
        <v>-164.40736999999999</v>
      </c>
      <c r="Y197" s="272">
        <v>0</v>
      </c>
      <c r="Z197" s="272">
        <v>0</v>
      </c>
      <c r="AA197" s="272">
        <v>0</v>
      </c>
      <c r="AB197" s="272">
        <v>-164.40736999999999</v>
      </c>
      <c r="AD197" s="272">
        <v>343.51242000000002</v>
      </c>
      <c r="AE197" s="157">
        <v>193.77046999999999</v>
      </c>
      <c r="AF197" s="184">
        <v>-24.466060000000002</v>
      </c>
      <c r="AG197" s="272">
        <v>-189.28303</v>
      </c>
      <c r="AH197" s="272">
        <v>0</v>
      </c>
      <c r="AI197" s="184">
        <v>28.948810000000002</v>
      </c>
      <c r="AJ197" s="272">
        <v>602.47258999999997</v>
      </c>
      <c r="AL197" s="272">
        <v>5860.00252</v>
      </c>
      <c r="AM197" s="184">
        <v>-37.5</v>
      </c>
      <c r="AN197" s="272">
        <v>409.27663000000001</v>
      </c>
      <c r="AO197" s="343">
        <v>1743</v>
      </c>
      <c r="AP197" s="332">
        <v>8.9</v>
      </c>
      <c r="AQ197" s="448"/>
      <c r="AS197" s="455">
        <v>1226.84824</v>
      </c>
      <c r="AT197" s="272">
        <v>6146.0413600000002</v>
      </c>
      <c r="AU197" s="450"/>
      <c r="AV197" s="334">
        <v>3231.6468</v>
      </c>
      <c r="AW197" s="334">
        <v>206.82828000000001</v>
      </c>
      <c r="AX197" s="334">
        <v>554.10211000000004</v>
      </c>
      <c r="AY197" s="334">
        <v>3992.57719</v>
      </c>
      <c r="AZ197" s="334">
        <v>663.32299999999998</v>
      </c>
      <c r="BA197" s="272">
        <v>106.33194</v>
      </c>
      <c r="BB197" s="333">
        <v>176.45844</v>
      </c>
      <c r="BC197" s="272">
        <v>184.12187</v>
      </c>
      <c r="BD197" s="272">
        <v>2.95492</v>
      </c>
      <c r="BE197" s="334">
        <v>-152.25248000000002</v>
      </c>
      <c r="BG197" s="331">
        <v>393.1943</v>
      </c>
      <c r="BH197" s="334">
        <v>0</v>
      </c>
      <c r="BI197" s="334">
        <v>0</v>
      </c>
      <c r="BJ197" s="334">
        <v>-545.44677999999999</v>
      </c>
      <c r="BK197" s="334">
        <v>0</v>
      </c>
      <c r="BL197" s="331">
        <v>0</v>
      </c>
      <c r="BM197" s="334">
        <v>0</v>
      </c>
      <c r="BN197" s="334">
        <v>-545.44677999999999</v>
      </c>
      <c r="BP197" s="334">
        <v>-201.93436000000005</v>
      </c>
      <c r="BQ197" s="311">
        <v>-130.25257999999999</v>
      </c>
      <c r="BR197" s="272">
        <v>21.9999</v>
      </c>
      <c r="BS197" s="461">
        <v>-1331.547</v>
      </c>
      <c r="BT197" s="272">
        <v>190.8314</v>
      </c>
      <c r="BU197" s="272">
        <v>41.991620000000005</v>
      </c>
      <c r="BV197" s="333">
        <v>713.36752999999999</v>
      </c>
      <c r="BX197" s="272">
        <v>7426.8449400000009</v>
      </c>
      <c r="BY197" s="469">
        <v>4.9799999999999997E-2</v>
      </c>
      <c r="BZ197" s="469">
        <v>1566.8424199999999</v>
      </c>
      <c r="CA197" s="552"/>
      <c r="CB197" s="335">
        <v>9.9</v>
      </c>
      <c r="CC197" s="471">
        <f t="shared" si="3"/>
        <v>9.9</v>
      </c>
      <c r="CD197" s="558"/>
      <c r="CE197" s="272"/>
      <c r="CF197" s="262"/>
      <c r="CI197" s="158">
        <v>0</v>
      </c>
      <c r="CJ197" s="331">
        <v>703.68629736240405</v>
      </c>
      <c r="CK197" s="331">
        <v>610.16738736936804</v>
      </c>
      <c r="CL197" s="331">
        <v>354.13809770900815</v>
      </c>
      <c r="CM197" s="472">
        <v>474.59133225108002</v>
      </c>
      <c r="CN197" s="472">
        <v>447.96593405128368</v>
      </c>
      <c r="CO197" s="480">
        <v>-466.46499999999997</v>
      </c>
      <c r="CP197" s="557"/>
      <c r="CQ197" s="474">
        <v>0</v>
      </c>
      <c r="CR197" s="474">
        <v>0</v>
      </c>
    </row>
    <row r="198" spans="1:96" x14ac:dyDescent="0.2">
      <c r="A198" s="154">
        <v>619</v>
      </c>
      <c r="B198" s="156" t="s">
        <v>225</v>
      </c>
      <c r="C198" s="325">
        <v>2650</v>
      </c>
      <c r="D198" s="270">
        <v>9.36</v>
      </c>
      <c r="E198" s="185"/>
      <c r="G198" s="272">
        <v>1977.0513000000001</v>
      </c>
      <c r="H198" s="272">
        <v>9153.5511999999999</v>
      </c>
      <c r="I198" s="272"/>
      <c r="J198" s="272">
        <v>4509.1068499999992</v>
      </c>
      <c r="K198" s="272">
        <v>576.05946999999992</v>
      </c>
      <c r="L198" s="272">
        <v>669.25923999999998</v>
      </c>
      <c r="M198" s="272">
        <v>5754.4255599999997</v>
      </c>
      <c r="N198" s="272">
        <v>3594.56</v>
      </c>
      <c r="O198" s="272">
        <v>78.739820000000009</v>
      </c>
      <c r="P198" s="272">
        <v>154.74206000000001</v>
      </c>
      <c r="Q198" s="272">
        <v>6.5657700000000006</v>
      </c>
      <c r="R198" s="272">
        <v>0.6147999999999999</v>
      </c>
      <c r="S198" s="272">
        <v>2102.4343900000003</v>
      </c>
      <c r="U198" s="272">
        <v>1196.2765099999999</v>
      </c>
      <c r="V198" s="272">
        <v>0</v>
      </c>
      <c r="W198" s="272">
        <v>0</v>
      </c>
      <c r="X198" s="272">
        <v>906.15787999999998</v>
      </c>
      <c r="Y198" s="272">
        <v>-35.748150000000003</v>
      </c>
      <c r="Z198" s="272">
        <v>0</v>
      </c>
      <c r="AA198" s="272">
        <v>0</v>
      </c>
      <c r="AB198" s="272">
        <v>941.90602999999999</v>
      </c>
      <c r="AD198" s="272">
        <v>5899.9442999999992</v>
      </c>
      <c r="AE198" s="157">
        <v>2102.4343900000003</v>
      </c>
      <c r="AF198" s="184">
        <v>0</v>
      </c>
      <c r="AG198" s="272">
        <v>-720.66526999999996</v>
      </c>
      <c r="AH198" s="272">
        <v>0</v>
      </c>
      <c r="AI198" s="184">
        <v>70</v>
      </c>
      <c r="AJ198" s="272">
        <v>3177.0327699999998</v>
      </c>
      <c r="AL198" s="272">
        <v>6465</v>
      </c>
      <c r="AM198" s="184">
        <v>0</v>
      </c>
      <c r="AN198" s="272">
        <v>-400</v>
      </c>
      <c r="AO198" s="343">
        <v>2607</v>
      </c>
      <c r="AP198" s="332">
        <v>9</v>
      </c>
      <c r="AQ198" s="448"/>
      <c r="AS198" s="455">
        <v>2124.9803500000003</v>
      </c>
      <c r="AT198" s="272">
        <v>9366.3683699999983</v>
      </c>
      <c r="AU198" s="450"/>
      <c r="AV198" s="334">
        <v>3950.4731400000001</v>
      </c>
      <c r="AW198" s="334">
        <v>446.87203999999997</v>
      </c>
      <c r="AX198" s="334">
        <v>726.16581000000008</v>
      </c>
      <c r="AY198" s="334">
        <v>5123.5109900000007</v>
      </c>
      <c r="AZ198" s="334">
        <v>3416.12</v>
      </c>
      <c r="BA198" s="272">
        <v>78.315529999999995</v>
      </c>
      <c r="BB198" s="333">
        <v>170.98166000000001</v>
      </c>
      <c r="BC198" s="272">
        <v>7.5386499999999996</v>
      </c>
      <c r="BD198" s="272">
        <v>6.0264300000000004</v>
      </c>
      <c r="BE198" s="334">
        <v>1207.08906</v>
      </c>
      <c r="BG198" s="331">
        <v>1230.87789</v>
      </c>
      <c r="BH198" s="331">
        <v>0</v>
      </c>
      <c r="BI198" s="331">
        <v>0</v>
      </c>
      <c r="BJ198" s="334">
        <v>-23.788830000000001</v>
      </c>
      <c r="BK198" s="334">
        <v>-33.671469999999999</v>
      </c>
      <c r="BL198" s="334">
        <v>0</v>
      </c>
      <c r="BM198" s="331">
        <v>0</v>
      </c>
      <c r="BN198" s="334">
        <v>9.8826399999999985</v>
      </c>
      <c r="BP198" s="334">
        <v>5909.8269399999999</v>
      </c>
      <c r="BQ198" s="311">
        <v>1207.08906</v>
      </c>
      <c r="BR198" s="272">
        <v>0</v>
      </c>
      <c r="BS198" s="461">
        <v>-421.87022999999999</v>
      </c>
      <c r="BT198" s="272">
        <v>0</v>
      </c>
      <c r="BU198" s="272">
        <v>0</v>
      </c>
      <c r="BV198" s="333">
        <v>3575.58871</v>
      </c>
      <c r="BX198" s="272">
        <v>6065</v>
      </c>
      <c r="BY198" s="469">
        <v>0</v>
      </c>
      <c r="BZ198" s="469">
        <v>-400</v>
      </c>
      <c r="CA198" s="552"/>
      <c r="CB198" s="335">
        <v>9.4</v>
      </c>
      <c r="CC198" s="471">
        <f t="shared" si="3"/>
        <v>9.4</v>
      </c>
      <c r="CD198" s="558"/>
      <c r="CE198" s="272"/>
      <c r="CF198" s="262"/>
      <c r="CI198" s="158">
        <v>0</v>
      </c>
      <c r="CJ198" s="331">
        <v>3652.5773950007574</v>
      </c>
      <c r="CK198" s="331">
        <v>3558.4786043680028</v>
      </c>
      <c r="CL198" s="331">
        <v>3603.6148324305595</v>
      </c>
      <c r="CM198" s="472">
        <v>3801.4337332514215</v>
      </c>
      <c r="CN198" s="472">
        <v>3979.4570371031109</v>
      </c>
      <c r="CO198" s="480">
        <v>139.38800000000001</v>
      </c>
      <c r="CP198" s="557"/>
      <c r="CQ198" s="474">
        <v>0</v>
      </c>
      <c r="CR198" s="474">
        <v>0</v>
      </c>
    </row>
    <row r="199" spans="1:96" x14ac:dyDescent="0.2">
      <c r="A199" s="154">
        <v>620</v>
      </c>
      <c r="B199" s="156" t="s">
        <v>226</v>
      </c>
      <c r="C199" s="325">
        <v>2359</v>
      </c>
      <c r="D199" s="270">
        <v>8.86</v>
      </c>
      <c r="E199" s="185"/>
      <c r="G199" s="272">
        <v>3642.4292599999999</v>
      </c>
      <c r="H199" s="272">
        <v>11725.338380000001</v>
      </c>
      <c r="I199" s="272"/>
      <c r="J199" s="272">
        <v>3146.0538900000001</v>
      </c>
      <c r="K199" s="272">
        <v>1161.7306599999999</v>
      </c>
      <c r="L199" s="272">
        <v>815.54514000000006</v>
      </c>
      <c r="M199" s="272">
        <v>5123.3296900000005</v>
      </c>
      <c r="N199" s="272">
        <v>4000.922</v>
      </c>
      <c r="O199" s="272">
        <v>0</v>
      </c>
      <c r="P199" s="272">
        <v>65.032300000000006</v>
      </c>
      <c r="Q199" s="272">
        <v>7.0406199999999997</v>
      </c>
      <c r="R199" s="272">
        <v>9.9797399999999996</v>
      </c>
      <c r="S199" s="272">
        <v>973.37115000000006</v>
      </c>
      <c r="U199" s="272">
        <v>971.64847999999995</v>
      </c>
      <c r="V199" s="272">
        <v>0</v>
      </c>
      <c r="W199" s="272">
        <v>0</v>
      </c>
      <c r="X199" s="272">
        <v>1.7226700000000001</v>
      </c>
      <c r="Y199" s="272">
        <v>-144.04560000000001</v>
      </c>
      <c r="Z199" s="272">
        <v>0</v>
      </c>
      <c r="AA199" s="272">
        <v>0</v>
      </c>
      <c r="AB199" s="272">
        <v>145.76827</v>
      </c>
      <c r="AD199" s="272">
        <v>5806.7351199999994</v>
      </c>
      <c r="AE199" s="157">
        <v>962.22825</v>
      </c>
      <c r="AF199" s="184">
        <v>-11.142899999999999</v>
      </c>
      <c r="AG199" s="272">
        <v>-418.53284000000002</v>
      </c>
      <c r="AH199" s="272">
        <v>906.02817000000005</v>
      </c>
      <c r="AI199" s="184">
        <v>111.49946000000001</v>
      </c>
      <c r="AJ199" s="272">
        <v>3731.65951</v>
      </c>
      <c r="AL199" s="272">
        <v>5031.4814500000002</v>
      </c>
      <c r="AM199" s="184">
        <v>0</v>
      </c>
      <c r="AN199" s="272">
        <v>-831.29630000000009</v>
      </c>
      <c r="AO199" s="343">
        <v>2345</v>
      </c>
      <c r="AP199" s="332">
        <v>8.9</v>
      </c>
      <c r="AQ199" s="448"/>
      <c r="AS199" s="455">
        <v>3923.5520999999999</v>
      </c>
      <c r="AT199" s="272">
        <v>11494.7163</v>
      </c>
      <c r="AU199" s="450"/>
      <c r="AV199" s="334">
        <v>3444.6102999999998</v>
      </c>
      <c r="AW199" s="334">
        <v>898.69006999999999</v>
      </c>
      <c r="AX199" s="334">
        <v>932.26569999999992</v>
      </c>
      <c r="AY199" s="334">
        <v>5275.5660699999999</v>
      </c>
      <c r="AZ199" s="334">
        <v>3778.9589999999998</v>
      </c>
      <c r="BA199" s="272">
        <v>50.85707</v>
      </c>
      <c r="BB199" s="333">
        <v>111.89485999999999</v>
      </c>
      <c r="BC199" s="272">
        <v>6.3349599999999997</v>
      </c>
      <c r="BD199" s="272">
        <v>6.8058999999999994</v>
      </c>
      <c r="BE199" s="334">
        <v>1421.85214</v>
      </c>
      <c r="BG199" s="331">
        <v>1067.4659999999999</v>
      </c>
      <c r="BH199" s="331">
        <v>0</v>
      </c>
      <c r="BI199" s="331">
        <v>0</v>
      </c>
      <c r="BJ199" s="334">
        <v>354.38614000000001</v>
      </c>
      <c r="BK199" s="334">
        <v>-72.022800000000004</v>
      </c>
      <c r="BL199" s="331">
        <v>0</v>
      </c>
      <c r="BM199" s="331">
        <v>0</v>
      </c>
      <c r="BN199" s="334">
        <v>426.40894000000003</v>
      </c>
      <c r="BP199" s="334">
        <v>6233.1440600000005</v>
      </c>
      <c r="BQ199" s="311">
        <v>1420.9021399999999</v>
      </c>
      <c r="BR199" s="272">
        <v>-0.95</v>
      </c>
      <c r="BS199" s="461">
        <v>-3918.10025</v>
      </c>
      <c r="BT199" s="272">
        <v>2392.2204200000001</v>
      </c>
      <c r="BU199" s="272">
        <v>101</v>
      </c>
      <c r="BV199" s="333">
        <v>1865.43751</v>
      </c>
      <c r="BX199" s="272">
        <v>5500.1851500000002</v>
      </c>
      <c r="BY199" s="469">
        <v>0</v>
      </c>
      <c r="BZ199" s="469">
        <v>468.70370000000003</v>
      </c>
      <c r="CA199" s="552"/>
      <c r="CB199" s="335">
        <v>8.9</v>
      </c>
      <c r="CC199" s="471">
        <f t="shared" si="3"/>
        <v>8.9</v>
      </c>
      <c r="CD199" s="558"/>
      <c r="CE199" s="272"/>
      <c r="CF199" s="262"/>
      <c r="CI199" s="158">
        <v>0</v>
      </c>
      <c r="CJ199" s="331">
        <v>4697.8450304344387</v>
      </c>
      <c r="CK199" s="331">
        <v>4622.525991195118</v>
      </c>
      <c r="CL199" s="331">
        <v>4897.1938219886106</v>
      </c>
      <c r="CM199" s="472">
        <v>5184.8285805044416</v>
      </c>
      <c r="CN199" s="472">
        <v>5150.0449769500601</v>
      </c>
      <c r="CO199" s="480">
        <v>305.41899999999998</v>
      </c>
      <c r="CP199" s="557"/>
      <c r="CQ199" s="474">
        <v>0</v>
      </c>
      <c r="CR199" s="474">
        <v>0</v>
      </c>
    </row>
    <row r="200" spans="1:96" x14ac:dyDescent="0.2">
      <c r="A200" s="154">
        <v>623</v>
      </c>
      <c r="B200" s="156" t="s">
        <v>14</v>
      </c>
      <c r="C200" s="325">
        <v>2108</v>
      </c>
      <c r="D200" s="270">
        <v>6.8600000000000012</v>
      </c>
      <c r="E200" s="185"/>
      <c r="G200" s="272">
        <v>2394.4633199999998</v>
      </c>
      <c r="H200" s="272">
        <v>7952.5851299999995</v>
      </c>
      <c r="I200" s="272"/>
      <c r="J200" s="272">
        <v>3317.8323999999998</v>
      </c>
      <c r="K200" s="272">
        <v>1211.4918300000002</v>
      </c>
      <c r="L200" s="272">
        <v>1909.6855500000001</v>
      </c>
      <c r="M200" s="272">
        <v>6439.0097800000003</v>
      </c>
      <c r="N200" s="272">
        <v>1412.2570000000001</v>
      </c>
      <c r="O200" s="272">
        <v>112.14108999999999</v>
      </c>
      <c r="P200" s="272">
        <v>0.43072000000000005</v>
      </c>
      <c r="Q200" s="272">
        <v>64.240160000000003</v>
      </c>
      <c r="R200" s="272">
        <v>1.1938499999999999</v>
      </c>
      <c r="S200" s="272">
        <v>2467.9016499999998</v>
      </c>
      <c r="U200" s="272">
        <v>809.47930000000008</v>
      </c>
      <c r="V200" s="272">
        <v>0</v>
      </c>
      <c r="W200" s="272">
        <v>0</v>
      </c>
      <c r="X200" s="272">
        <v>1658.4223500000001</v>
      </c>
      <c r="Y200" s="272">
        <v>0</v>
      </c>
      <c r="Z200" s="272">
        <v>300</v>
      </c>
      <c r="AA200" s="272">
        <v>0</v>
      </c>
      <c r="AB200" s="272">
        <v>1358.4223500000001</v>
      </c>
      <c r="AD200" s="272">
        <v>13912.75461</v>
      </c>
      <c r="AE200" s="157">
        <v>2099.9299900000001</v>
      </c>
      <c r="AF200" s="184">
        <v>-367.97165999999999</v>
      </c>
      <c r="AG200" s="272">
        <v>-1662.8269299999999</v>
      </c>
      <c r="AH200" s="272">
        <v>94.266289999999998</v>
      </c>
      <c r="AI200" s="184">
        <v>148.6</v>
      </c>
      <c r="AJ200" s="272">
        <v>8305.1443199999994</v>
      </c>
      <c r="AL200" s="272">
        <v>0</v>
      </c>
      <c r="AM200" s="184">
        <v>0</v>
      </c>
      <c r="AN200" s="272">
        <v>-50</v>
      </c>
      <c r="AO200" s="343">
        <v>2101</v>
      </c>
      <c r="AP200" s="332">
        <v>6.6000000000000005</v>
      </c>
      <c r="AQ200" s="448"/>
      <c r="AS200" s="455">
        <v>2522.8650499999999</v>
      </c>
      <c r="AT200" s="272">
        <v>8247.4802</v>
      </c>
      <c r="AU200" s="450"/>
      <c r="AV200" s="334">
        <v>2818.6917200000003</v>
      </c>
      <c r="AW200" s="334">
        <v>1038.31314</v>
      </c>
      <c r="AX200" s="334">
        <v>2162.4993100000002</v>
      </c>
      <c r="AY200" s="334">
        <v>6019.5041700000002</v>
      </c>
      <c r="AZ200" s="334">
        <v>1304.059</v>
      </c>
      <c r="BA200" s="272">
        <v>170.12952999999999</v>
      </c>
      <c r="BB200" s="333">
        <v>8.455E-2</v>
      </c>
      <c r="BC200" s="272">
        <v>70.167210000000011</v>
      </c>
      <c r="BD200" s="272">
        <v>0.26232</v>
      </c>
      <c r="BE200" s="334">
        <v>1838.89789</v>
      </c>
      <c r="BG200" s="331">
        <v>866.63369999999998</v>
      </c>
      <c r="BH200" s="331">
        <v>0</v>
      </c>
      <c r="BI200" s="331">
        <v>0</v>
      </c>
      <c r="BJ200" s="334">
        <v>972.26418999999999</v>
      </c>
      <c r="BK200" s="334">
        <v>0</v>
      </c>
      <c r="BL200" s="331">
        <v>0</v>
      </c>
      <c r="BM200" s="331">
        <v>-8.8000000000000007</v>
      </c>
      <c r="BN200" s="334">
        <v>981.06418999999994</v>
      </c>
      <c r="BP200" s="334">
        <v>14893.818799999999</v>
      </c>
      <c r="BQ200" s="311">
        <v>1838.89789</v>
      </c>
      <c r="BR200" s="272">
        <v>0</v>
      </c>
      <c r="BS200" s="461">
        <v>-772.15138999999999</v>
      </c>
      <c r="BT200" s="272">
        <v>209.26718</v>
      </c>
      <c r="BU200" s="272">
        <v>0</v>
      </c>
      <c r="BV200" s="333">
        <v>9908.3463300000003</v>
      </c>
      <c r="BX200" s="272">
        <v>0</v>
      </c>
      <c r="BY200" s="469">
        <v>0</v>
      </c>
      <c r="BZ200" s="469">
        <v>0</v>
      </c>
      <c r="CA200" s="552"/>
      <c r="CB200" s="335">
        <v>6.6000000000000005</v>
      </c>
      <c r="CC200" s="471">
        <f t="shared" si="3"/>
        <v>6.6000000000000005</v>
      </c>
      <c r="CD200" s="558"/>
      <c r="CE200" s="272"/>
      <c r="CF200" s="262"/>
      <c r="CI200" s="158">
        <v>0</v>
      </c>
      <c r="CJ200" s="331">
        <v>1377.7872244523944</v>
      </c>
      <c r="CK200" s="331">
        <v>1388.3787234695847</v>
      </c>
      <c r="CL200" s="331">
        <v>1392.9391647520308</v>
      </c>
      <c r="CM200" s="472">
        <v>1572.8085009065051</v>
      </c>
      <c r="CN200" s="472">
        <v>1620.9247212865496</v>
      </c>
      <c r="CO200" s="480">
        <v>-505.94299999999998</v>
      </c>
      <c r="CP200" s="557"/>
      <c r="CQ200" s="474">
        <v>0</v>
      </c>
      <c r="CR200" s="474">
        <v>0</v>
      </c>
    </row>
    <row r="201" spans="1:96" x14ac:dyDescent="0.2">
      <c r="A201" s="154">
        <v>624</v>
      </c>
      <c r="B201" s="156" t="s">
        <v>227</v>
      </c>
      <c r="C201" s="325">
        <v>5065</v>
      </c>
      <c r="D201" s="270">
        <v>8.11</v>
      </c>
      <c r="E201" s="185"/>
      <c r="G201" s="272">
        <v>1391.3115700000001</v>
      </c>
      <c r="H201" s="272">
        <v>15415.912970000001</v>
      </c>
      <c r="I201" s="272"/>
      <c r="J201" s="272">
        <v>10131.33208</v>
      </c>
      <c r="K201" s="272">
        <v>991.85097999999994</v>
      </c>
      <c r="L201" s="272">
        <v>2253.7287500000002</v>
      </c>
      <c r="M201" s="272">
        <v>13376.911810000001</v>
      </c>
      <c r="N201" s="272">
        <v>5422.8819999999996</v>
      </c>
      <c r="O201" s="272">
        <v>115.30242</v>
      </c>
      <c r="P201" s="272">
        <v>308.16521999999998</v>
      </c>
      <c r="Q201" s="272">
        <v>19.006689999999999</v>
      </c>
      <c r="R201" s="272">
        <v>4.0174599999999998</v>
      </c>
      <c r="S201" s="272">
        <v>4597.3188399999999</v>
      </c>
      <c r="U201" s="272">
        <v>1560.69751</v>
      </c>
      <c r="V201" s="272">
        <v>0</v>
      </c>
      <c r="W201" s="272">
        <v>0</v>
      </c>
      <c r="X201" s="272">
        <v>3036.6213299999999</v>
      </c>
      <c r="Y201" s="272">
        <v>0</v>
      </c>
      <c r="Z201" s="272">
        <v>0</v>
      </c>
      <c r="AA201" s="272">
        <v>0</v>
      </c>
      <c r="AB201" s="272">
        <v>3036.6213299999999</v>
      </c>
      <c r="AD201" s="272">
        <v>8353.0492999999988</v>
      </c>
      <c r="AE201" s="157">
        <v>4533.68804</v>
      </c>
      <c r="AF201" s="184">
        <v>-63.630800000000001</v>
      </c>
      <c r="AG201" s="272">
        <v>-2129.38051</v>
      </c>
      <c r="AH201" s="272">
        <v>28.8</v>
      </c>
      <c r="AI201" s="184">
        <v>73.678600000000003</v>
      </c>
      <c r="AJ201" s="272">
        <v>910.96960999999999</v>
      </c>
      <c r="AL201" s="272">
        <v>10736.04205</v>
      </c>
      <c r="AM201" s="184">
        <v>-23.55</v>
      </c>
      <c r="AN201" s="272">
        <v>-2145.6888799999997</v>
      </c>
      <c r="AO201" s="343">
        <v>5001</v>
      </c>
      <c r="AP201" s="332">
        <v>8.1</v>
      </c>
      <c r="AQ201" s="448"/>
      <c r="AS201" s="455">
        <v>1821.7055800000001</v>
      </c>
      <c r="AT201" s="272">
        <v>16080.13545</v>
      </c>
      <c r="AU201" s="450"/>
      <c r="AV201" s="334">
        <v>9627.7013599999991</v>
      </c>
      <c r="AW201" s="334">
        <v>964.38231000000007</v>
      </c>
      <c r="AX201" s="334">
        <v>2145.66698</v>
      </c>
      <c r="AY201" s="334">
        <v>12737.75065</v>
      </c>
      <c r="AZ201" s="334">
        <v>3986.6179999999999</v>
      </c>
      <c r="BA201" s="272">
        <v>34.557879999999997</v>
      </c>
      <c r="BB201" s="333">
        <v>203.76195999999999</v>
      </c>
      <c r="BC201" s="272">
        <v>24.803740000000001</v>
      </c>
      <c r="BD201" s="272">
        <v>2.2186900000000001</v>
      </c>
      <c r="BE201" s="334">
        <v>2319.3197500000001</v>
      </c>
      <c r="BG201" s="331">
        <v>1634.0276200000001</v>
      </c>
      <c r="BH201" s="331">
        <v>0</v>
      </c>
      <c r="BI201" s="334">
        <v>0</v>
      </c>
      <c r="BJ201" s="334">
        <v>685.29213000000004</v>
      </c>
      <c r="BK201" s="331">
        <v>0</v>
      </c>
      <c r="BL201" s="331">
        <v>0</v>
      </c>
      <c r="BM201" s="331">
        <v>0</v>
      </c>
      <c r="BN201" s="334">
        <v>685.29213000000004</v>
      </c>
      <c r="BP201" s="334">
        <v>9239.0889800000004</v>
      </c>
      <c r="BQ201" s="311">
        <v>2251.7691199999999</v>
      </c>
      <c r="BR201" s="272">
        <v>-67.550629999999998</v>
      </c>
      <c r="BS201" s="461">
        <v>-1162.4142099999999</v>
      </c>
      <c r="BT201" s="272">
        <v>14.512270000000001</v>
      </c>
      <c r="BU201" s="272">
        <v>79.930000000000007</v>
      </c>
      <c r="BV201" s="333">
        <v>970.05056000000002</v>
      </c>
      <c r="BX201" s="272">
        <v>10075</v>
      </c>
      <c r="BY201" s="469">
        <v>-9.5719999999999992</v>
      </c>
      <c r="BZ201" s="469">
        <v>-661.04205000000002</v>
      </c>
      <c r="CA201" s="552"/>
      <c r="CB201" s="335">
        <v>8.1000000000000014</v>
      </c>
      <c r="CC201" s="471">
        <f t="shared" si="3"/>
        <v>8.1000000000000014</v>
      </c>
      <c r="CD201" s="558"/>
      <c r="CE201" s="272"/>
      <c r="CF201" s="262"/>
      <c r="CI201" s="158">
        <v>0</v>
      </c>
      <c r="CJ201" s="331">
        <v>4236.4098324552706</v>
      </c>
      <c r="CK201" s="331">
        <v>3808.0535719124664</v>
      </c>
      <c r="CL201" s="331">
        <v>4185.6567314060167</v>
      </c>
      <c r="CM201" s="472">
        <v>4660.2258657194316</v>
      </c>
      <c r="CN201" s="472">
        <v>4587.7528331967769</v>
      </c>
      <c r="CO201" s="480">
        <v>-797.86199999999997</v>
      </c>
      <c r="CP201" s="557"/>
      <c r="CQ201" s="474">
        <v>0</v>
      </c>
      <c r="CR201" s="474">
        <v>0</v>
      </c>
    </row>
    <row r="202" spans="1:96" x14ac:dyDescent="0.2">
      <c r="A202" s="154">
        <v>625</v>
      </c>
      <c r="B202" s="156" t="s">
        <v>228</v>
      </c>
      <c r="C202" s="325">
        <v>2980</v>
      </c>
      <c r="D202" s="270">
        <v>8.1099999999999977</v>
      </c>
      <c r="E202" s="185"/>
      <c r="G202" s="272">
        <v>2446.8608799999997</v>
      </c>
      <c r="H202" s="272">
        <v>13739.884529999999</v>
      </c>
      <c r="I202" s="272"/>
      <c r="J202" s="272">
        <v>4756.1808099999998</v>
      </c>
      <c r="K202" s="272">
        <v>579.77787000000001</v>
      </c>
      <c r="L202" s="272">
        <v>5947.1661299999996</v>
      </c>
      <c r="M202" s="272">
        <v>11283.124810000001</v>
      </c>
      <c r="N202" s="272">
        <v>4905.9342400000005</v>
      </c>
      <c r="O202" s="272">
        <v>23.030080000000002</v>
      </c>
      <c r="P202" s="272">
        <v>299.28881999999999</v>
      </c>
      <c r="Q202" s="272">
        <v>382.13997999999998</v>
      </c>
      <c r="R202" s="272">
        <v>20.27197</v>
      </c>
      <c r="S202" s="272">
        <v>4981.6446699999997</v>
      </c>
      <c r="U202" s="272">
        <v>1883.81079</v>
      </c>
      <c r="V202" s="272">
        <v>0</v>
      </c>
      <c r="W202" s="272">
        <v>0</v>
      </c>
      <c r="X202" s="272">
        <v>3097.8338799999997</v>
      </c>
      <c r="Y202" s="272">
        <v>-37.5</v>
      </c>
      <c r="Z202" s="272">
        <v>3000</v>
      </c>
      <c r="AA202" s="272">
        <v>0</v>
      </c>
      <c r="AB202" s="272">
        <v>135.33387999999999</v>
      </c>
      <c r="AD202" s="272">
        <v>15390.258739999999</v>
      </c>
      <c r="AE202" s="157">
        <v>4941.9646600000005</v>
      </c>
      <c r="AF202" s="184">
        <v>-39.680010000000003</v>
      </c>
      <c r="AG202" s="272">
        <v>-2786.1430299999997</v>
      </c>
      <c r="AH202" s="272">
        <v>476.52328</v>
      </c>
      <c r="AI202" s="184">
        <v>41.068959999999997</v>
      </c>
      <c r="AJ202" s="272">
        <v>8090.6813200000006</v>
      </c>
      <c r="AL202" s="272">
        <v>6900</v>
      </c>
      <c r="AM202" s="184">
        <v>41.754559999999998</v>
      </c>
      <c r="AN202" s="272">
        <v>-1600</v>
      </c>
      <c r="AO202" s="343">
        <v>2976</v>
      </c>
      <c r="AP202" s="332">
        <v>7.9</v>
      </c>
      <c r="AQ202" s="448"/>
      <c r="AS202" s="455">
        <v>2912.3801600000002</v>
      </c>
      <c r="AT202" s="272">
        <v>14564.246220000001</v>
      </c>
      <c r="AU202" s="450"/>
      <c r="AV202" s="334">
        <v>4813.3632300000008</v>
      </c>
      <c r="AW202" s="334">
        <v>499.13067999999998</v>
      </c>
      <c r="AX202" s="334">
        <v>6094.4684400000006</v>
      </c>
      <c r="AY202" s="334">
        <v>11406.96235</v>
      </c>
      <c r="AZ202" s="334">
        <v>4469.3791300000003</v>
      </c>
      <c r="BA202" s="272">
        <v>10.24349</v>
      </c>
      <c r="BB202" s="333">
        <v>279.08251000000001</v>
      </c>
      <c r="BC202" s="272">
        <v>274.05099999999999</v>
      </c>
      <c r="BD202" s="272">
        <v>10.356030000000001</v>
      </c>
      <c r="BE202" s="334">
        <v>4219.3313699999999</v>
      </c>
      <c r="BG202" s="331">
        <v>1448.58879</v>
      </c>
      <c r="BH202" s="331">
        <v>0</v>
      </c>
      <c r="BI202" s="331">
        <v>64.996089999999995</v>
      </c>
      <c r="BJ202" s="334">
        <v>2705.7464900000004</v>
      </c>
      <c r="BK202" s="331">
        <v>-50</v>
      </c>
      <c r="BL202" s="331">
        <v>2500</v>
      </c>
      <c r="BM202" s="331">
        <v>0</v>
      </c>
      <c r="BN202" s="334">
        <v>255.74648999999999</v>
      </c>
      <c r="BP202" s="334">
        <v>15616.26123</v>
      </c>
      <c r="BQ202" s="311">
        <v>4049.6683599999997</v>
      </c>
      <c r="BR202" s="272">
        <v>-104.66692</v>
      </c>
      <c r="BS202" s="461">
        <v>-5315.8278899999996</v>
      </c>
      <c r="BT202" s="272">
        <v>1192.7818300000001</v>
      </c>
      <c r="BU202" s="272">
        <v>384.34159999999997</v>
      </c>
      <c r="BV202" s="333">
        <v>8189.6751000000004</v>
      </c>
      <c r="BX202" s="272">
        <v>6800</v>
      </c>
      <c r="BY202" s="469">
        <v>81.466449999999995</v>
      </c>
      <c r="BZ202" s="469">
        <v>-100</v>
      </c>
      <c r="CA202" s="552"/>
      <c r="CB202" s="335">
        <v>7.9</v>
      </c>
      <c r="CC202" s="471">
        <f t="shared" si="3"/>
        <v>7.9</v>
      </c>
      <c r="CD202" s="558"/>
      <c r="CE202" s="272"/>
      <c r="CF202" s="262"/>
      <c r="CI202" s="158">
        <v>0</v>
      </c>
      <c r="CJ202" s="331">
        <v>4640.1172796595092</v>
      </c>
      <c r="CK202" s="331">
        <v>4615.4807670097098</v>
      </c>
      <c r="CL202" s="331">
        <v>4735.8674278141871</v>
      </c>
      <c r="CM202" s="472">
        <v>4863.4385352321951</v>
      </c>
      <c r="CN202" s="472">
        <v>4884.4225846053223</v>
      </c>
      <c r="CO202" s="480">
        <v>364.91899999999998</v>
      </c>
      <c r="CP202" s="557"/>
      <c r="CQ202" s="474">
        <v>0</v>
      </c>
      <c r="CR202" s="474">
        <v>0</v>
      </c>
    </row>
    <row r="203" spans="1:96" x14ac:dyDescent="0.2">
      <c r="A203" s="154">
        <v>626</v>
      </c>
      <c r="B203" s="156" t="s">
        <v>229</v>
      </c>
      <c r="C203" s="325">
        <v>4756</v>
      </c>
      <c r="D203" s="270">
        <v>9.11</v>
      </c>
      <c r="E203" s="185"/>
      <c r="G203" s="272">
        <v>3771.6874700000003</v>
      </c>
      <c r="H203" s="272">
        <v>18181.537399999997</v>
      </c>
      <c r="I203" s="272"/>
      <c r="J203" s="272">
        <v>7885.5995199999998</v>
      </c>
      <c r="K203" s="272">
        <v>1751.5421299999998</v>
      </c>
      <c r="L203" s="272">
        <v>1402.60752</v>
      </c>
      <c r="M203" s="272">
        <v>11039.749169999999</v>
      </c>
      <c r="N203" s="272">
        <v>2004.99</v>
      </c>
      <c r="O203" s="272">
        <v>95.331159999999997</v>
      </c>
      <c r="P203" s="272">
        <v>838.79756999999995</v>
      </c>
      <c r="Q203" s="272">
        <v>703.69563000000005</v>
      </c>
      <c r="R203" s="272">
        <v>183.90643</v>
      </c>
      <c r="S203" s="272">
        <v>-1588.7879699999999</v>
      </c>
      <c r="U203" s="272">
        <v>1351.5130300000001</v>
      </c>
      <c r="V203" s="272">
        <v>0</v>
      </c>
      <c r="W203" s="272">
        <v>65</v>
      </c>
      <c r="X203" s="272">
        <v>-3005.3009999999999</v>
      </c>
      <c r="Y203" s="272">
        <v>-325.10181</v>
      </c>
      <c r="Z203" s="272">
        <v>0</v>
      </c>
      <c r="AA203" s="272">
        <v>0</v>
      </c>
      <c r="AB203" s="272">
        <v>-2680.1991899999998</v>
      </c>
      <c r="AD203" s="272">
        <v>-436.85051999999996</v>
      </c>
      <c r="AE203" s="157">
        <v>-1599.79168</v>
      </c>
      <c r="AF203" s="184">
        <v>53.996290000000002</v>
      </c>
      <c r="AG203" s="272">
        <v>-2272.7682599999998</v>
      </c>
      <c r="AH203" s="272">
        <v>0</v>
      </c>
      <c r="AI203" s="184">
        <v>32.559560000000005</v>
      </c>
      <c r="AJ203" s="272">
        <v>10496.543180000001</v>
      </c>
      <c r="AL203" s="272">
        <v>31986.620999999999</v>
      </c>
      <c r="AM203" s="184">
        <v>398.09199999999998</v>
      </c>
      <c r="AN203" s="272">
        <v>5871.4340000000002</v>
      </c>
      <c r="AO203" s="343">
        <v>4702</v>
      </c>
      <c r="AP203" s="332">
        <v>9.1</v>
      </c>
      <c r="AQ203" s="448"/>
      <c r="AS203" s="455">
        <v>4913.0823300000002</v>
      </c>
      <c r="AT203" s="272">
        <v>18040.594699999998</v>
      </c>
      <c r="AU203" s="450"/>
      <c r="AV203" s="334">
        <v>7586.3553400000001</v>
      </c>
      <c r="AW203" s="334">
        <v>1257.62401</v>
      </c>
      <c r="AX203" s="334">
        <v>1786.0173600000001</v>
      </c>
      <c r="AY203" s="334">
        <v>10629.996710000001</v>
      </c>
      <c r="AZ203" s="334">
        <v>3543.6439999999998</v>
      </c>
      <c r="BA203" s="272">
        <v>130.55303000000001</v>
      </c>
      <c r="BB203" s="333">
        <v>1173.7314799999999</v>
      </c>
      <c r="BC203" s="272">
        <v>378.33052000000004</v>
      </c>
      <c r="BD203" s="272">
        <v>35.061010000000003</v>
      </c>
      <c r="BE203" s="334">
        <v>346.21940000000001</v>
      </c>
      <c r="BG203" s="331">
        <v>1652.01081</v>
      </c>
      <c r="BH203" s="331">
        <v>0</v>
      </c>
      <c r="BI203" s="331">
        <v>0</v>
      </c>
      <c r="BJ203" s="334">
        <v>-1305.7914099999998</v>
      </c>
      <c r="BK203" s="331">
        <v>-321.24920000000003</v>
      </c>
      <c r="BL203" s="331">
        <v>0</v>
      </c>
      <c r="BM203" s="331">
        <v>0</v>
      </c>
      <c r="BN203" s="334">
        <v>-984.54220999999995</v>
      </c>
      <c r="BP203" s="334">
        <v>-1421.39273</v>
      </c>
      <c r="BQ203" s="311">
        <v>343.74720000000002</v>
      </c>
      <c r="BR203" s="272">
        <v>-2.4722</v>
      </c>
      <c r="BS203" s="461">
        <v>-1941.7275300000001</v>
      </c>
      <c r="BT203" s="272">
        <v>26.349</v>
      </c>
      <c r="BU203" s="272">
        <v>4.0340800000000003</v>
      </c>
      <c r="BV203" s="333">
        <v>12315.827469999998</v>
      </c>
      <c r="BX203" s="272">
        <v>37435.555</v>
      </c>
      <c r="BY203" s="469">
        <v>203.392</v>
      </c>
      <c r="BZ203" s="469">
        <v>5448.9340000000002</v>
      </c>
      <c r="CA203" s="552"/>
      <c r="CB203" s="335">
        <v>9.1</v>
      </c>
      <c r="CC203" s="471">
        <f t="shared" si="3"/>
        <v>9.1</v>
      </c>
      <c r="CD203" s="558"/>
      <c r="CE203" s="272"/>
      <c r="CF203" s="262"/>
      <c r="CI203" s="158">
        <v>0</v>
      </c>
      <c r="CJ203" s="331">
        <v>4034.8639948046048</v>
      </c>
      <c r="CK203" s="331">
        <v>4328.1529635220513</v>
      </c>
      <c r="CL203" s="331">
        <v>4986.8194844797572</v>
      </c>
      <c r="CM203" s="472">
        <v>5270.7327509242996</v>
      </c>
      <c r="CN203" s="472">
        <v>5195.9800636285454</v>
      </c>
      <c r="CO203" s="480">
        <v>-74.072000000000003</v>
      </c>
      <c r="CP203" s="557"/>
      <c r="CQ203" s="474">
        <v>0</v>
      </c>
      <c r="CR203" s="474">
        <v>0</v>
      </c>
    </row>
    <row r="204" spans="1:96" x14ac:dyDescent="0.2">
      <c r="A204" s="154">
        <v>630</v>
      </c>
      <c r="B204" s="156" t="s">
        <v>230</v>
      </c>
      <c r="C204" s="325">
        <v>1646</v>
      </c>
      <c r="D204" s="270">
        <v>7.1100000000000012</v>
      </c>
      <c r="E204" s="185"/>
      <c r="G204" s="272">
        <v>2311.7887099999998</v>
      </c>
      <c r="H204" s="272">
        <v>7476.0557399999998</v>
      </c>
      <c r="I204" s="272"/>
      <c r="J204" s="272">
        <v>2292.5291000000002</v>
      </c>
      <c r="K204" s="272">
        <v>642.49585999999999</v>
      </c>
      <c r="L204" s="272">
        <v>1386.21984</v>
      </c>
      <c r="M204" s="272">
        <v>4321.2447999999995</v>
      </c>
      <c r="N204" s="272">
        <v>2245.8609999999999</v>
      </c>
      <c r="O204" s="272">
        <v>11.4</v>
      </c>
      <c r="P204" s="272">
        <v>199.20237</v>
      </c>
      <c r="Q204" s="272">
        <v>40.847699999999996</v>
      </c>
      <c r="R204" s="272">
        <v>13.53294</v>
      </c>
      <c r="S204" s="272">
        <v>1242.3511599999999</v>
      </c>
      <c r="U204" s="272">
        <v>894.17284999999993</v>
      </c>
      <c r="V204" s="272">
        <v>0</v>
      </c>
      <c r="W204" s="272">
        <v>0</v>
      </c>
      <c r="X204" s="272">
        <v>348.17831000000001</v>
      </c>
      <c r="Y204" s="272">
        <v>-83.675669999999997</v>
      </c>
      <c r="Z204" s="272">
        <v>0</v>
      </c>
      <c r="AA204" s="272">
        <v>0</v>
      </c>
      <c r="AB204" s="272">
        <v>431.85397999999998</v>
      </c>
      <c r="AD204" s="272">
        <v>4474.4650899999997</v>
      </c>
      <c r="AE204" s="157">
        <v>1222.8813700000001</v>
      </c>
      <c r="AF204" s="184">
        <v>-19.46979</v>
      </c>
      <c r="AG204" s="272">
        <v>-4846.9789700000001</v>
      </c>
      <c r="AH204" s="272">
        <v>626.26631999999995</v>
      </c>
      <c r="AI204" s="184">
        <v>26.25</v>
      </c>
      <c r="AJ204" s="272">
        <v>683.00977</v>
      </c>
      <c r="AL204" s="272">
        <v>10850</v>
      </c>
      <c r="AM204" s="184">
        <v>40</v>
      </c>
      <c r="AN204" s="272">
        <v>2550</v>
      </c>
      <c r="AO204" s="343">
        <v>1641</v>
      </c>
      <c r="AP204" s="332">
        <v>8</v>
      </c>
      <c r="AQ204" s="448"/>
      <c r="AS204" s="455">
        <v>2540.5107599999997</v>
      </c>
      <c r="AT204" s="272">
        <v>7954.7989200000002</v>
      </c>
      <c r="AU204" s="450"/>
      <c r="AV204" s="334">
        <v>1996.7463400000001</v>
      </c>
      <c r="AW204" s="334">
        <v>600.46534999999994</v>
      </c>
      <c r="AX204" s="334">
        <v>1415.5980099999999</v>
      </c>
      <c r="AY204" s="334">
        <v>4012.8097000000002</v>
      </c>
      <c r="AZ204" s="334">
        <v>2554.9290000000001</v>
      </c>
      <c r="BA204" s="272">
        <v>10.8</v>
      </c>
      <c r="BB204" s="333">
        <v>308.27177</v>
      </c>
      <c r="BC204" s="272">
        <v>47.402970000000003</v>
      </c>
      <c r="BD204" s="272">
        <v>11.778370000000001</v>
      </c>
      <c r="BE204" s="334">
        <v>891.60337000000004</v>
      </c>
      <c r="BG204" s="331">
        <v>778.1354</v>
      </c>
      <c r="BH204" s="331">
        <v>0</v>
      </c>
      <c r="BI204" s="331">
        <v>0</v>
      </c>
      <c r="BJ204" s="334">
        <v>113.46797000000001</v>
      </c>
      <c r="BK204" s="331">
        <v>-64.67616000000001</v>
      </c>
      <c r="BL204" s="331">
        <v>0</v>
      </c>
      <c r="BM204" s="331">
        <v>0</v>
      </c>
      <c r="BN204" s="334">
        <v>178.14413000000002</v>
      </c>
      <c r="BP204" s="334">
        <v>4652.6092199999994</v>
      </c>
      <c r="BQ204" s="311">
        <v>880.98082999999997</v>
      </c>
      <c r="BR204" s="272">
        <v>-10.622540000000001</v>
      </c>
      <c r="BS204" s="461">
        <v>-1647.3320200000001</v>
      </c>
      <c r="BT204" s="272">
        <v>519.62593000000004</v>
      </c>
      <c r="BU204" s="272">
        <v>42.708500000000001</v>
      </c>
      <c r="BV204" s="333">
        <v>240.18710000000002</v>
      </c>
      <c r="BX204" s="272">
        <v>11050</v>
      </c>
      <c r="BY204" s="469">
        <v>40</v>
      </c>
      <c r="BZ204" s="469">
        <v>200</v>
      </c>
      <c r="CA204" s="552"/>
      <c r="CB204" s="335">
        <v>8</v>
      </c>
      <c r="CC204" s="471">
        <f t="shared" si="3"/>
        <v>8</v>
      </c>
      <c r="CD204" s="558"/>
      <c r="CE204" s="272"/>
      <c r="CF204" s="262"/>
      <c r="CI204" s="158">
        <v>0</v>
      </c>
      <c r="CJ204" s="331">
        <v>3051.7749094132937</v>
      </c>
      <c r="CK204" s="331">
        <v>3186.8315869928265</v>
      </c>
      <c r="CL204" s="331">
        <v>3396.4227578052705</v>
      </c>
      <c r="CM204" s="472">
        <v>3713.3373130018222</v>
      </c>
      <c r="CN204" s="472">
        <v>3818.3121808280021</v>
      </c>
      <c r="CO204" s="480">
        <v>-102.723</v>
      </c>
      <c r="CP204" s="557"/>
      <c r="CQ204" s="474">
        <v>0</v>
      </c>
      <c r="CR204" s="474">
        <v>0</v>
      </c>
    </row>
    <row r="205" spans="1:96" x14ac:dyDescent="0.2">
      <c r="A205" s="154">
        <v>631</v>
      </c>
      <c r="B205" s="156" t="s">
        <v>231</v>
      </c>
      <c r="C205" s="325">
        <v>1930</v>
      </c>
      <c r="D205" s="270">
        <v>9.11</v>
      </c>
      <c r="E205" s="185"/>
      <c r="G205" s="272">
        <v>685.84761000000003</v>
      </c>
      <c r="H205" s="272">
        <v>6347.4864500000003</v>
      </c>
      <c r="I205" s="272"/>
      <c r="J205" s="272">
        <v>3777.47138</v>
      </c>
      <c r="K205" s="272">
        <v>320.74603999999999</v>
      </c>
      <c r="L205" s="272">
        <v>816.32978000000003</v>
      </c>
      <c r="M205" s="272">
        <v>4914.5472</v>
      </c>
      <c r="N205" s="272">
        <v>1944.5034099999998</v>
      </c>
      <c r="O205" s="272">
        <v>9.3514500000000016</v>
      </c>
      <c r="P205" s="272">
        <v>14.99385</v>
      </c>
      <c r="Q205" s="272">
        <v>5.1048200000000001</v>
      </c>
      <c r="R205" s="272">
        <v>9.4671800000000008</v>
      </c>
      <c r="S205" s="272">
        <v>1187.4070099999999</v>
      </c>
      <c r="U205" s="272">
        <v>693.93753000000004</v>
      </c>
      <c r="V205" s="272">
        <v>0</v>
      </c>
      <c r="W205" s="272">
        <v>0</v>
      </c>
      <c r="X205" s="272">
        <v>493.46947999999998</v>
      </c>
      <c r="Y205" s="272">
        <v>-23.310020000000002</v>
      </c>
      <c r="Z205" s="272">
        <v>0</v>
      </c>
      <c r="AA205" s="272">
        <v>0</v>
      </c>
      <c r="AB205" s="272">
        <v>516.77949999999998</v>
      </c>
      <c r="AD205" s="272">
        <v>2454.5549099999998</v>
      </c>
      <c r="AE205" s="157">
        <v>1149.9224999999999</v>
      </c>
      <c r="AF205" s="184">
        <v>-37.48451</v>
      </c>
      <c r="AG205" s="272">
        <v>-576.56583999999998</v>
      </c>
      <c r="AH205" s="272">
        <v>0</v>
      </c>
      <c r="AI205" s="184">
        <v>37.542000000000002</v>
      </c>
      <c r="AJ205" s="272">
        <v>2830.31943</v>
      </c>
      <c r="AL205" s="272">
        <v>400</v>
      </c>
      <c r="AM205" s="184">
        <v>-14.4</v>
      </c>
      <c r="AN205" s="272">
        <v>-1175</v>
      </c>
      <c r="AO205" s="343">
        <v>1919</v>
      </c>
      <c r="AP205" s="332">
        <v>9.1</v>
      </c>
      <c r="AQ205" s="448"/>
      <c r="AS205" s="455">
        <v>755.12186999999994</v>
      </c>
      <c r="AT205" s="272">
        <v>6570.6804199999997</v>
      </c>
      <c r="AU205" s="450"/>
      <c r="AV205" s="334">
        <v>3788.9045299999998</v>
      </c>
      <c r="AW205" s="334">
        <v>206.06609</v>
      </c>
      <c r="AX205" s="334">
        <v>844.48590999999999</v>
      </c>
      <c r="AY205" s="334">
        <v>4839.4565300000004</v>
      </c>
      <c r="AZ205" s="334">
        <v>945.12931999999989</v>
      </c>
      <c r="BA205" s="272">
        <v>5.0164900000000001</v>
      </c>
      <c r="BB205" s="333">
        <v>38.240139999999997</v>
      </c>
      <c r="BC205" s="272">
        <v>7.61233</v>
      </c>
      <c r="BD205" s="272">
        <v>2.1252</v>
      </c>
      <c r="BE205" s="334">
        <v>-58.709220000000002</v>
      </c>
      <c r="BG205" s="331">
        <v>552.00397999999996</v>
      </c>
      <c r="BH205" s="331">
        <v>0</v>
      </c>
      <c r="BI205" s="331">
        <v>0</v>
      </c>
      <c r="BJ205" s="334">
        <v>-610.71319999999992</v>
      </c>
      <c r="BK205" s="334">
        <v>-23.31</v>
      </c>
      <c r="BL205" s="331">
        <v>0</v>
      </c>
      <c r="BM205" s="331">
        <v>0</v>
      </c>
      <c r="BN205" s="334">
        <v>-587.40319999999997</v>
      </c>
      <c r="BP205" s="334">
        <v>1867.1517100000001</v>
      </c>
      <c r="BQ205" s="311">
        <v>-57.805879999999995</v>
      </c>
      <c r="BR205" s="272">
        <v>0.90334000000000003</v>
      </c>
      <c r="BS205" s="461">
        <v>-2003.19434</v>
      </c>
      <c r="BT205" s="272">
        <v>18.899999999999999</v>
      </c>
      <c r="BU205" s="272">
        <v>1.8144</v>
      </c>
      <c r="BV205" s="333">
        <v>1323.4268300000001</v>
      </c>
      <c r="BX205" s="272">
        <v>975</v>
      </c>
      <c r="BY205" s="469">
        <v>0</v>
      </c>
      <c r="BZ205" s="469">
        <v>575</v>
      </c>
      <c r="CA205" s="552"/>
      <c r="CB205" s="335">
        <v>9.1</v>
      </c>
      <c r="CC205" s="471">
        <f t="shared" si="3"/>
        <v>9.1</v>
      </c>
      <c r="CD205" s="558"/>
      <c r="CE205" s="272"/>
      <c r="CF205" s="262"/>
      <c r="CI205" s="158">
        <v>0</v>
      </c>
      <c r="CJ205" s="331">
        <v>1288.016560605658</v>
      </c>
      <c r="CK205" s="331">
        <v>1166.5058293151865</v>
      </c>
      <c r="CL205" s="331">
        <v>1295.2431807626426</v>
      </c>
      <c r="CM205" s="472">
        <v>1458.5648909395738</v>
      </c>
      <c r="CN205" s="472">
        <v>1336.8226775624332</v>
      </c>
      <c r="CO205" s="480">
        <v>-477.15100000000001</v>
      </c>
      <c r="CP205" s="557"/>
      <c r="CQ205" s="474">
        <v>0</v>
      </c>
      <c r="CR205" s="474">
        <v>0</v>
      </c>
    </row>
    <row r="206" spans="1:96" x14ac:dyDescent="0.2">
      <c r="A206" s="154">
        <v>635</v>
      </c>
      <c r="B206" s="156" t="s">
        <v>232</v>
      </c>
      <c r="C206" s="325">
        <v>6337</v>
      </c>
      <c r="D206" s="270">
        <v>8.86</v>
      </c>
      <c r="E206" s="185"/>
      <c r="G206" s="272">
        <v>5356.9317199999996</v>
      </c>
      <c r="H206" s="272">
        <v>20616.120039999998</v>
      </c>
      <c r="I206" s="272"/>
      <c r="J206" s="272">
        <v>11090.58526</v>
      </c>
      <c r="K206" s="272">
        <v>1300.5191200000002</v>
      </c>
      <c r="L206" s="272">
        <v>2549.9588399999998</v>
      </c>
      <c r="M206" s="272">
        <v>14941.06322</v>
      </c>
      <c r="N206" s="272">
        <v>4171.567</v>
      </c>
      <c r="O206" s="272">
        <v>272.40755000000001</v>
      </c>
      <c r="P206" s="272">
        <v>93.749560000000002</v>
      </c>
      <c r="Q206" s="272">
        <v>90.23008999999999</v>
      </c>
      <c r="R206" s="272">
        <v>88.278960000000012</v>
      </c>
      <c r="S206" s="272">
        <v>4034.0510199999999</v>
      </c>
      <c r="U206" s="272">
        <v>2585.6924800000002</v>
      </c>
      <c r="V206" s="272">
        <v>0</v>
      </c>
      <c r="W206" s="272">
        <v>0</v>
      </c>
      <c r="X206" s="272">
        <v>1448.3585399999999</v>
      </c>
      <c r="Y206" s="272">
        <v>-315.75207</v>
      </c>
      <c r="Z206" s="272">
        <v>0</v>
      </c>
      <c r="AA206" s="272">
        <v>0</v>
      </c>
      <c r="AB206" s="272">
        <v>1764.1106100000002</v>
      </c>
      <c r="AD206" s="272">
        <v>16625.466970000001</v>
      </c>
      <c r="AE206" s="157">
        <v>3854.8550099999998</v>
      </c>
      <c r="AF206" s="184">
        <v>-179.19601</v>
      </c>
      <c r="AG206" s="272">
        <v>-3112.2496900000001</v>
      </c>
      <c r="AH206" s="272">
        <v>0</v>
      </c>
      <c r="AI206" s="184">
        <v>416.93828000000002</v>
      </c>
      <c r="AJ206" s="272">
        <v>4339.2464</v>
      </c>
      <c r="AL206" s="272">
        <v>6836.4226499999995</v>
      </c>
      <c r="AM206" s="184">
        <v>-3447.6017200000001</v>
      </c>
      <c r="AN206" s="272">
        <v>-896.44928000000004</v>
      </c>
      <c r="AO206" s="343">
        <v>6238</v>
      </c>
      <c r="AP206" s="332">
        <v>8.9</v>
      </c>
      <c r="AQ206" s="448"/>
      <c r="AS206" s="455">
        <v>5154.6824400000005</v>
      </c>
      <c r="AT206" s="272">
        <v>21406.978460000002</v>
      </c>
      <c r="AU206" s="450"/>
      <c r="AV206" s="334">
        <v>11545.38471</v>
      </c>
      <c r="AW206" s="334">
        <v>1077.2528400000001</v>
      </c>
      <c r="AX206" s="334">
        <v>2779.4295499999998</v>
      </c>
      <c r="AY206" s="334">
        <v>15402.0671</v>
      </c>
      <c r="AZ206" s="334">
        <v>3627.5079999999998</v>
      </c>
      <c r="BA206" s="272">
        <v>176.76579000000001</v>
      </c>
      <c r="BB206" s="333">
        <v>82.997029999999995</v>
      </c>
      <c r="BC206" s="272">
        <v>86.289490000000001</v>
      </c>
      <c r="BD206" s="272">
        <v>31.87575</v>
      </c>
      <c r="BE206" s="334">
        <v>2925.4615800000001</v>
      </c>
      <c r="BG206" s="331">
        <v>3743.87788</v>
      </c>
      <c r="BH206" s="331">
        <v>0</v>
      </c>
      <c r="BI206" s="331">
        <v>0</v>
      </c>
      <c r="BJ206" s="334">
        <v>-818.41630000000009</v>
      </c>
      <c r="BK206" s="334">
        <v>-306.36659999999995</v>
      </c>
      <c r="BL206" s="334">
        <v>0</v>
      </c>
      <c r="BM206" s="331">
        <v>0</v>
      </c>
      <c r="BN206" s="334">
        <v>-512.04970000000003</v>
      </c>
      <c r="BP206" s="334">
        <v>16113.417270000002</v>
      </c>
      <c r="BQ206" s="311">
        <v>2859.0799099999999</v>
      </c>
      <c r="BR206" s="272">
        <v>-66.38167</v>
      </c>
      <c r="BS206" s="461">
        <v>-2274.38985</v>
      </c>
      <c r="BT206" s="272">
        <v>0</v>
      </c>
      <c r="BU206" s="272">
        <v>200.16200000000001</v>
      </c>
      <c r="BV206" s="333">
        <v>4715.1105700000007</v>
      </c>
      <c r="BX206" s="272">
        <v>5947.9426599999988</v>
      </c>
      <c r="BY206" s="469">
        <v>43.231999999999999</v>
      </c>
      <c r="BZ206" s="469">
        <v>-888.47999000000004</v>
      </c>
      <c r="CA206" s="552"/>
      <c r="CB206" s="335">
        <v>8.9</v>
      </c>
      <c r="CC206" s="471">
        <f t="shared" si="3"/>
        <v>8.9</v>
      </c>
      <c r="CD206" s="558"/>
      <c r="CE206" s="272"/>
      <c r="CF206" s="262"/>
      <c r="CI206" s="158">
        <v>0</v>
      </c>
      <c r="CJ206" s="331">
        <v>4145.4089639866206</v>
      </c>
      <c r="CK206" s="331">
        <v>3742.4605612191854</v>
      </c>
      <c r="CL206" s="331">
        <v>3749.8512470004289</v>
      </c>
      <c r="CM206" s="472">
        <v>4208.3326411102498</v>
      </c>
      <c r="CN206" s="472">
        <v>4292.599189843143</v>
      </c>
      <c r="CO206" s="480">
        <v>-403.11200000000002</v>
      </c>
      <c r="CP206" s="557"/>
      <c r="CQ206" s="474">
        <v>0</v>
      </c>
      <c r="CR206" s="474">
        <v>0</v>
      </c>
    </row>
    <row r="207" spans="1:96" x14ac:dyDescent="0.2">
      <c r="A207" s="154">
        <v>636</v>
      </c>
      <c r="B207" s="156" t="s">
        <v>233</v>
      </c>
      <c r="C207" s="325">
        <v>8130</v>
      </c>
      <c r="D207" s="270">
        <v>8.61</v>
      </c>
      <c r="E207" s="185"/>
      <c r="G207" s="272">
        <v>7927.0467699999999</v>
      </c>
      <c r="H207" s="272">
        <v>28651.128820000002</v>
      </c>
      <c r="I207" s="272"/>
      <c r="J207" s="272">
        <v>12644.860460000002</v>
      </c>
      <c r="K207" s="272">
        <v>2353.43046</v>
      </c>
      <c r="L207" s="272">
        <v>2206.56448</v>
      </c>
      <c r="M207" s="272">
        <v>17204.855399999997</v>
      </c>
      <c r="N207" s="272">
        <v>8288.2759999999998</v>
      </c>
      <c r="O207" s="272">
        <v>231.41370000000001</v>
      </c>
      <c r="P207" s="272">
        <v>53.218199999999996</v>
      </c>
      <c r="Q207" s="272">
        <v>33.709540000000004</v>
      </c>
      <c r="R207" s="272">
        <v>110.22378</v>
      </c>
      <c r="S207" s="272">
        <v>4870.7306100000005</v>
      </c>
      <c r="U207" s="272">
        <v>3286.0430899999997</v>
      </c>
      <c r="V207" s="272">
        <v>672.00977</v>
      </c>
      <c r="W207" s="272">
        <v>0</v>
      </c>
      <c r="X207" s="272">
        <v>2256.6972900000001</v>
      </c>
      <c r="Y207" s="272">
        <v>-75.62809</v>
      </c>
      <c r="Z207" s="272">
        <v>0</v>
      </c>
      <c r="AA207" s="272">
        <v>0</v>
      </c>
      <c r="AB207" s="272">
        <v>2332.3253799999998</v>
      </c>
      <c r="AD207" s="272">
        <v>9106.7868500000004</v>
      </c>
      <c r="AE207" s="157">
        <v>5336.3509899999999</v>
      </c>
      <c r="AF207" s="184">
        <v>-206.38939000000002</v>
      </c>
      <c r="AG207" s="272">
        <v>-2235.9944500000001</v>
      </c>
      <c r="AH207" s="272">
        <v>0</v>
      </c>
      <c r="AI207" s="184">
        <v>2378.1631200000002</v>
      </c>
      <c r="AJ207" s="272">
        <v>7881.7234200000003</v>
      </c>
      <c r="AL207" s="272">
        <v>10904.122299999999</v>
      </c>
      <c r="AM207" s="184">
        <v>40</v>
      </c>
      <c r="AN207" s="272">
        <v>-2275.9672</v>
      </c>
      <c r="AO207" s="343">
        <v>8011</v>
      </c>
      <c r="AP207" s="332">
        <v>8.6</v>
      </c>
      <c r="AQ207" s="448"/>
      <c r="AS207" s="455">
        <v>7866.1949599999998</v>
      </c>
      <c r="AT207" s="272">
        <v>29296.98864</v>
      </c>
      <c r="AU207" s="450"/>
      <c r="AV207" s="334">
        <v>12819.131310000001</v>
      </c>
      <c r="AW207" s="334">
        <v>2396.78404</v>
      </c>
      <c r="AX207" s="334">
        <v>2190.4521</v>
      </c>
      <c r="AY207" s="334">
        <v>17406.367449999998</v>
      </c>
      <c r="AZ207" s="334">
        <v>9371.1640000000007</v>
      </c>
      <c r="BA207" s="272">
        <v>220.03805</v>
      </c>
      <c r="BB207" s="333">
        <v>2.1564299999999998</v>
      </c>
      <c r="BC207" s="272">
        <v>48.67924</v>
      </c>
      <c r="BD207" s="272">
        <v>25.741430000000001</v>
      </c>
      <c r="BE207" s="334">
        <v>5587.5572000000002</v>
      </c>
      <c r="BG207" s="331">
        <v>2907.0861800000002</v>
      </c>
      <c r="BH207" s="331">
        <v>0</v>
      </c>
      <c r="BI207" s="334">
        <v>0</v>
      </c>
      <c r="BJ207" s="334">
        <v>2680.47102</v>
      </c>
      <c r="BK207" s="331">
        <v>-74.863020000000006</v>
      </c>
      <c r="BL207" s="331">
        <v>0</v>
      </c>
      <c r="BM207" s="331">
        <v>0</v>
      </c>
      <c r="BN207" s="334">
        <v>2755.3340400000002</v>
      </c>
      <c r="BP207" s="334">
        <v>11862.12089</v>
      </c>
      <c r="BQ207" s="311">
        <v>5575.05033</v>
      </c>
      <c r="BR207" s="272">
        <v>-12.506870000000001</v>
      </c>
      <c r="BS207" s="461">
        <v>-1514.2794899999999</v>
      </c>
      <c r="BT207" s="272">
        <v>0</v>
      </c>
      <c r="BU207" s="272">
        <v>32.754629999999999</v>
      </c>
      <c r="BV207" s="333">
        <v>9778.0351199999986</v>
      </c>
      <c r="BX207" s="272">
        <v>9074.9967799999995</v>
      </c>
      <c r="BY207" s="469">
        <v>-80</v>
      </c>
      <c r="BZ207" s="469">
        <v>-1829.1255200000001</v>
      </c>
      <c r="CA207" s="552"/>
      <c r="CB207" s="335">
        <v>8.6</v>
      </c>
      <c r="CC207" s="471">
        <f t="shared" si="3"/>
        <v>8.6</v>
      </c>
      <c r="CD207" s="558"/>
      <c r="CE207" s="272"/>
      <c r="CF207" s="262"/>
      <c r="CI207" s="158">
        <v>0</v>
      </c>
      <c r="CJ207" s="331">
        <v>9315.4065472966322</v>
      </c>
      <c r="CK207" s="331">
        <v>8830.4693219332548</v>
      </c>
      <c r="CL207" s="331">
        <v>9379.9245447135072</v>
      </c>
      <c r="CM207" s="472">
        <v>9972.6513472354891</v>
      </c>
      <c r="CN207" s="472">
        <v>10311.812511910299</v>
      </c>
      <c r="CO207" s="480">
        <v>-773.24300000000005</v>
      </c>
      <c r="CP207" s="557"/>
      <c r="CQ207" s="474">
        <v>0</v>
      </c>
      <c r="CR207" s="474">
        <v>0</v>
      </c>
    </row>
    <row r="208" spans="1:96" x14ac:dyDescent="0.2">
      <c r="A208" s="154">
        <v>678</v>
      </c>
      <c r="B208" s="156" t="s">
        <v>234</v>
      </c>
      <c r="C208" s="325">
        <v>23797</v>
      </c>
      <c r="D208" s="270">
        <v>8.6099999999999977</v>
      </c>
      <c r="E208" s="185"/>
      <c r="G208" s="272">
        <v>14645.42261</v>
      </c>
      <c r="H208" s="272">
        <v>84499.284579999992</v>
      </c>
      <c r="I208" s="272"/>
      <c r="J208" s="272">
        <v>47588.212920000005</v>
      </c>
      <c r="K208" s="272">
        <v>9878.2944000000007</v>
      </c>
      <c r="L208" s="272">
        <v>8339.0048399999996</v>
      </c>
      <c r="M208" s="272">
        <v>65805.512159999998</v>
      </c>
      <c r="N208" s="272">
        <v>24842.418000000001</v>
      </c>
      <c r="O208" s="272">
        <v>1384.3307399999999</v>
      </c>
      <c r="P208" s="272">
        <v>3789.7086600000002</v>
      </c>
      <c r="Q208" s="272">
        <v>4704.4294600000003</v>
      </c>
      <c r="R208" s="272">
        <v>473.85341</v>
      </c>
      <c r="S208" s="272">
        <v>23126.006219999999</v>
      </c>
      <c r="U208" s="272">
        <v>8153.4469200000003</v>
      </c>
      <c r="V208" s="272">
        <v>0</v>
      </c>
      <c r="W208" s="272">
        <v>4889.2393000000002</v>
      </c>
      <c r="X208" s="272">
        <v>10083.32</v>
      </c>
      <c r="Y208" s="272">
        <v>0</v>
      </c>
      <c r="Z208" s="272">
        <v>0</v>
      </c>
      <c r="AA208" s="272">
        <v>0</v>
      </c>
      <c r="AB208" s="272">
        <v>10083.32</v>
      </c>
      <c r="AD208" s="272">
        <v>25211.995190000001</v>
      </c>
      <c r="AE208" s="157">
        <v>22670.934670000002</v>
      </c>
      <c r="AF208" s="184">
        <v>4434.1673300000002</v>
      </c>
      <c r="AG208" s="272">
        <v>-8298.0276900000008</v>
      </c>
      <c r="AH208" s="272">
        <v>60.499449999999996</v>
      </c>
      <c r="AI208" s="184">
        <v>3636.24017</v>
      </c>
      <c r="AJ208" s="272">
        <v>51704.668180000001</v>
      </c>
      <c r="AL208" s="272">
        <v>156805.35313999999</v>
      </c>
      <c r="AM208" s="184">
        <v>-323.20420000000001</v>
      </c>
      <c r="AN208" s="272">
        <v>-8569.158660000001</v>
      </c>
      <c r="AO208" s="343">
        <v>23571</v>
      </c>
      <c r="AP208" s="332">
        <v>8.7999999999999989</v>
      </c>
      <c r="AQ208" s="448"/>
      <c r="AS208" s="455">
        <v>14962.4962</v>
      </c>
      <c r="AT208" s="272">
        <v>83382.52459999999</v>
      </c>
      <c r="AU208" s="450"/>
      <c r="AV208" s="334">
        <v>43622.48719</v>
      </c>
      <c r="AW208" s="334">
        <v>14185.620919999999</v>
      </c>
      <c r="AX208" s="334">
        <v>8595.3648699999994</v>
      </c>
      <c r="AY208" s="334">
        <v>66403.472979999991</v>
      </c>
      <c r="AZ208" s="334">
        <v>22950.416000000001</v>
      </c>
      <c r="BA208" s="272">
        <v>1509.6792</v>
      </c>
      <c r="BB208" s="333">
        <v>3835.37203</v>
      </c>
      <c r="BC208" s="272">
        <v>3433.91138</v>
      </c>
      <c r="BD208" s="272">
        <v>260.68833999999998</v>
      </c>
      <c r="BE208" s="334">
        <v>22177.45912</v>
      </c>
      <c r="BG208" s="331">
        <v>8019.3145700000005</v>
      </c>
      <c r="BH208" s="334">
        <v>701.45639000000006</v>
      </c>
      <c r="BI208" s="334">
        <v>0</v>
      </c>
      <c r="BJ208" s="334">
        <v>14859.60094</v>
      </c>
      <c r="BK208" s="334">
        <v>788.80018999999993</v>
      </c>
      <c r="BL208" s="331">
        <v>-1000</v>
      </c>
      <c r="BM208" s="331">
        <v>0</v>
      </c>
      <c r="BN208" s="334">
        <v>15070.80075</v>
      </c>
      <c r="BP208" s="334">
        <v>40348.506600000001</v>
      </c>
      <c r="BQ208" s="311">
        <v>22330.577539999998</v>
      </c>
      <c r="BR208" s="272">
        <v>-548.33868999999993</v>
      </c>
      <c r="BS208" s="461">
        <v>-8655.3476099999989</v>
      </c>
      <c r="BT208" s="272">
        <v>395.5</v>
      </c>
      <c r="BU208" s="272">
        <v>785.50356000000011</v>
      </c>
      <c r="BV208" s="333">
        <v>52432.804029999999</v>
      </c>
      <c r="BX208" s="272">
        <v>144659.72388000001</v>
      </c>
      <c r="BY208" s="469">
        <v>733.85137999999995</v>
      </c>
      <c r="BZ208" s="469">
        <v>-12145.62926</v>
      </c>
      <c r="CA208" s="552"/>
      <c r="CB208" s="335">
        <v>8.8000000000000007</v>
      </c>
      <c r="CC208" s="471">
        <f t="shared" si="3"/>
        <v>8.8000000000000007</v>
      </c>
      <c r="CD208" s="558"/>
      <c r="CE208" s="272"/>
      <c r="CF208" s="262"/>
      <c r="CG208" s="260"/>
      <c r="CI208" s="158">
        <v>2000</v>
      </c>
      <c r="CJ208" s="331">
        <v>18576.299814184986</v>
      </c>
      <c r="CK208" s="331">
        <v>15778.337105106641</v>
      </c>
      <c r="CL208" s="331">
        <v>21011.133178098065</v>
      </c>
      <c r="CM208" s="472">
        <v>21794.121870633902</v>
      </c>
      <c r="CN208" s="472">
        <v>21444.740320562185</v>
      </c>
      <c r="CO208" s="480">
        <v>-270.08499999999998</v>
      </c>
      <c r="CP208" s="557"/>
      <c r="CQ208" s="474">
        <v>506.73990000000003</v>
      </c>
      <c r="CR208" s="474">
        <v>396.06833</v>
      </c>
    </row>
    <row r="209" spans="1:96" x14ac:dyDescent="0.2">
      <c r="A209" s="154">
        <v>710</v>
      </c>
      <c r="B209" s="156" t="s">
        <v>351</v>
      </c>
      <c r="C209" s="325">
        <v>27209</v>
      </c>
      <c r="D209" s="270">
        <v>9.36</v>
      </c>
      <c r="E209" s="185"/>
      <c r="G209" s="272">
        <v>23471.214329999999</v>
      </c>
      <c r="H209" s="272">
        <v>100820.17881999999</v>
      </c>
      <c r="I209" s="272"/>
      <c r="J209" s="272">
        <v>57333.02074</v>
      </c>
      <c r="K209" s="272">
        <v>4224.4531299999999</v>
      </c>
      <c r="L209" s="272">
        <v>12339.25267</v>
      </c>
      <c r="M209" s="272">
        <v>73896.726540000003</v>
      </c>
      <c r="N209" s="272">
        <v>21310.447</v>
      </c>
      <c r="O209" s="272">
        <v>1581.9422199999999</v>
      </c>
      <c r="P209" s="272">
        <v>-74.787469999999999</v>
      </c>
      <c r="Q209" s="272">
        <v>290.00574999999998</v>
      </c>
      <c r="R209" s="272">
        <v>16.064719999999998</v>
      </c>
      <c r="S209" s="272">
        <v>20096.592929999999</v>
      </c>
      <c r="U209" s="272">
        <v>7796.0155000000004</v>
      </c>
      <c r="V209" s="272">
        <v>0</v>
      </c>
      <c r="W209" s="272">
        <v>0</v>
      </c>
      <c r="X209" s="272">
        <v>12300.577429999999</v>
      </c>
      <c r="Y209" s="272">
        <v>0</v>
      </c>
      <c r="Z209" s="272">
        <v>0</v>
      </c>
      <c r="AA209" s="272">
        <v>0</v>
      </c>
      <c r="AB209" s="272">
        <v>12300.577429999999</v>
      </c>
      <c r="AD209" s="272">
        <v>22381.64214</v>
      </c>
      <c r="AE209" s="157">
        <v>19585.023960000002</v>
      </c>
      <c r="AF209" s="184">
        <v>-511.56896999999998</v>
      </c>
      <c r="AG209" s="272">
        <v>-13778.10853</v>
      </c>
      <c r="AH209" s="272">
        <v>485.85904999999997</v>
      </c>
      <c r="AI209" s="184">
        <v>650.28595999999993</v>
      </c>
      <c r="AJ209" s="272">
        <v>6441.2283399999997</v>
      </c>
      <c r="AL209" s="272">
        <v>98790.502819999994</v>
      </c>
      <c r="AM209" s="184">
        <v>6.1319999999999997</v>
      </c>
      <c r="AN209" s="272">
        <v>-9567.70622</v>
      </c>
      <c r="AO209" s="343">
        <v>27036</v>
      </c>
      <c r="AP209" s="332">
        <v>9.3000000000000007</v>
      </c>
      <c r="AQ209" s="448"/>
      <c r="AS209" s="455">
        <v>24583.941559999999</v>
      </c>
      <c r="AT209" s="272">
        <v>106047.26211</v>
      </c>
      <c r="AU209" s="450"/>
      <c r="AV209" s="334">
        <v>55748.010219999996</v>
      </c>
      <c r="AW209" s="334">
        <v>3473.2107599999999</v>
      </c>
      <c r="AX209" s="334">
        <v>12457.955699999999</v>
      </c>
      <c r="AY209" s="334">
        <v>71679.176680000004</v>
      </c>
      <c r="AZ209" s="334">
        <v>18460.741000000002</v>
      </c>
      <c r="BA209" s="272">
        <v>1663.3233899999998</v>
      </c>
      <c r="BB209" s="333">
        <v>77.235199999999992</v>
      </c>
      <c r="BC209" s="272">
        <v>92.651309999999995</v>
      </c>
      <c r="BD209" s="272">
        <v>6.4192999999999998</v>
      </c>
      <c r="BE209" s="334">
        <v>10737.34851</v>
      </c>
      <c r="BG209" s="331">
        <v>8342.7932500000006</v>
      </c>
      <c r="BH209" s="331">
        <v>0</v>
      </c>
      <c r="BI209" s="331">
        <v>0</v>
      </c>
      <c r="BJ209" s="334">
        <v>2394.5552599999996</v>
      </c>
      <c r="BK209" s="331">
        <v>0</v>
      </c>
      <c r="BL209" s="331">
        <v>0</v>
      </c>
      <c r="BM209" s="331">
        <v>0</v>
      </c>
      <c r="BN209" s="334">
        <v>2394.5552599999996</v>
      </c>
      <c r="BP209" s="334">
        <v>24776.197399999997</v>
      </c>
      <c r="BQ209" s="311">
        <v>11466.00094</v>
      </c>
      <c r="BR209" s="272">
        <v>728.65243000000009</v>
      </c>
      <c r="BS209" s="461">
        <v>-19708.91214</v>
      </c>
      <c r="BT209" s="272">
        <v>429.79408000000001</v>
      </c>
      <c r="BU209" s="272">
        <v>1779.06897</v>
      </c>
      <c r="BV209" s="333">
        <v>1812.35724</v>
      </c>
      <c r="BX209" s="272">
        <v>107093.69945999999</v>
      </c>
      <c r="BY209" s="469">
        <v>0.14199999999999999</v>
      </c>
      <c r="BZ209" s="469">
        <v>8303.1966400000001</v>
      </c>
      <c r="CA209" s="552"/>
      <c r="CB209" s="335">
        <v>9.3000000000000007</v>
      </c>
      <c r="CC209" s="471">
        <f t="shared" si="3"/>
        <v>9.3000000000000007</v>
      </c>
      <c r="CD209" s="558"/>
      <c r="CE209" s="272"/>
      <c r="CF209" s="262"/>
      <c r="CG209" s="260"/>
      <c r="CI209" s="158">
        <v>0</v>
      </c>
      <c r="CJ209" s="331">
        <v>19896.930371349208</v>
      </c>
      <c r="CK209" s="331">
        <v>19717.116862099268</v>
      </c>
      <c r="CL209" s="331">
        <v>20948.92561690943</v>
      </c>
      <c r="CM209" s="472">
        <v>22819.442472207276</v>
      </c>
      <c r="CN209" s="472">
        <v>23455.789365328976</v>
      </c>
      <c r="CO209" s="480">
        <v>13.034000000000001</v>
      </c>
      <c r="CP209" s="557"/>
      <c r="CQ209" s="474">
        <v>307.71315999999996</v>
      </c>
      <c r="CR209" s="474">
        <v>388.43117999999998</v>
      </c>
    </row>
    <row r="210" spans="1:96" x14ac:dyDescent="0.2">
      <c r="A210" s="154">
        <v>680</v>
      </c>
      <c r="B210" s="156" t="s">
        <v>235</v>
      </c>
      <c r="C210" s="325">
        <v>25331</v>
      </c>
      <c r="D210" s="270">
        <v>7.61</v>
      </c>
      <c r="E210" s="185"/>
      <c r="G210" s="272">
        <v>18675.503989999997</v>
      </c>
      <c r="H210" s="272">
        <v>77732.793930000014</v>
      </c>
      <c r="I210" s="272"/>
      <c r="J210" s="272">
        <v>49084.594429999997</v>
      </c>
      <c r="K210" s="272">
        <v>6914.9512599999998</v>
      </c>
      <c r="L210" s="272">
        <v>8572.4597699999995</v>
      </c>
      <c r="M210" s="272">
        <v>64572.00546</v>
      </c>
      <c r="N210" s="272">
        <v>14130.052</v>
      </c>
      <c r="O210" s="272">
        <v>1447.7864399999999</v>
      </c>
      <c r="P210" s="272">
        <v>1226.77593</v>
      </c>
      <c r="Q210" s="272">
        <v>159.08142999999998</v>
      </c>
      <c r="R210" s="272">
        <v>16.985130000000002</v>
      </c>
      <c r="S210" s="272">
        <v>20007.874329999999</v>
      </c>
      <c r="U210" s="272">
        <v>11160.562599999999</v>
      </c>
      <c r="V210" s="272">
        <v>0</v>
      </c>
      <c r="W210" s="272">
        <v>0</v>
      </c>
      <c r="X210" s="272">
        <v>8847.3117300000013</v>
      </c>
      <c r="Y210" s="272">
        <v>-0.20251</v>
      </c>
      <c r="Z210" s="272">
        <v>8800</v>
      </c>
      <c r="AA210" s="272">
        <v>0</v>
      </c>
      <c r="AB210" s="272">
        <v>47.514240000000001</v>
      </c>
      <c r="AD210" s="272">
        <v>23977.792819999999</v>
      </c>
      <c r="AE210" s="157">
        <v>19273.299079999997</v>
      </c>
      <c r="AF210" s="184">
        <v>-734.57524999999998</v>
      </c>
      <c r="AG210" s="272">
        <v>-25608.64429</v>
      </c>
      <c r="AH210" s="272">
        <v>370.15564000000001</v>
      </c>
      <c r="AI210" s="184">
        <v>1411.1556699999999</v>
      </c>
      <c r="AJ210" s="272">
        <v>6940.7633499999993</v>
      </c>
      <c r="AL210" s="272">
        <v>49737.284939999998</v>
      </c>
      <c r="AM210" s="184">
        <v>0</v>
      </c>
      <c r="AN210" s="272">
        <v>7808.2026999999998</v>
      </c>
      <c r="AO210" s="343">
        <v>25738</v>
      </c>
      <c r="AP210" s="332">
        <v>7.6</v>
      </c>
      <c r="AQ210" s="448"/>
      <c r="AS210" s="455">
        <v>18834.13178</v>
      </c>
      <c r="AT210" s="272">
        <v>80797.160060000009</v>
      </c>
      <c r="AU210" s="450"/>
      <c r="AV210" s="334">
        <v>47199.662530000001</v>
      </c>
      <c r="AW210" s="334">
        <v>5203.0348700000004</v>
      </c>
      <c r="AX210" s="334">
        <v>8630.5323800000006</v>
      </c>
      <c r="AY210" s="334">
        <v>61033.229780000001</v>
      </c>
      <c r="AZ210" s="334">
        <v>13892.032999999999</v>
      </c>
      <c r="BA210" s="272">
        <v>1650.72147</v>
      </c>
      <c r="BB210" s="333">
        <v>2211.0189599999999</v>
      </c>
      <c r="BC210" s="272">
        <v>211.01731000000001</v>
      </c>
      <c r="BD210" s="272">
        <v>22.610880000000002</v>
      </c>
      <c r="BE210" s="334">
        <v>12590.343439999999</v>
      </c>
      <c r="BG210" s="331">
        <v>11170.63523</v>
      </c>
      <c r="BH210" s="334">
        <v>0</v>
      </c>
      <c r="BI210" s="334">
        <v>0</v>
      </c>
      <c r="BJ210" s="334">
        <v>1419.70821</v>
      </c>
      <c r="BK210" s="334">
        <v>-0.20251</v>
      </c>
      <c r="BL210" s="334">
        <v>1200</v>
      </c>
      <c r="BM210" s="331">
        <v>0</v>
      </c>
      <c r="BN210" s="334">
        <v>219.91072</v>
      </c>
      <c r="BP210" s="334">
        <v>24197.703539999999</v>
      </c>
      <c r="BQ210" s="311">
        <v>11796.62888</v>
      </c>
      <c r="BR210" s="272">
        <v>-793.71456000000001</v>
      </c>
      <c r="BS210" s="461">
        <v>-37855.411639999998</v>
      </c>
      <c r="BT210" s="272">
        <v>678.35364000000004</v>
      </c>
      <c r="BU210" s="272">
        <v>979.45561999999995</v>
      </c>
      <c r="BV210" s="333">
        <v>4388.2987800000001</v>
      </c>
      <c r="BX210" s="272">
        <v>67878.820939999991</v>
      </c>
      <c r="BY210" s="469">
        <v>0</v>
      </c>
      <c r="BZ210" s="469">
        <v>18141.536</v>
      </c>
      <c r="CA210" s="552"/>
      <c r="CB210" s="335">
        <v>7.6</v>
      </c>
      <c r="CC210" s="471">
        <f t="shared" si="3"/>
        <v>7.6</v>
      </c>
      <c r="CD210" s="558"/>
      <c r="CE210" s="272"/>
      <c r="CF210" s="262"/>
      <c r="CI210" s="158">
        <v>0</v>
      </c>
      <c r="CJ210" s="331">
        <v>16233.130693815685</v>
      </c>
      <c r="CK210" s="331">
        <v>18075.077065426856</v>
      </c>
      <c r="CL210" s="331">
        <v>17513.105550547356</v>
      </c>
      <c r="CM210" s="472">
        <v>18997.133500347289</v>
      </c>
      <c r="CN210" s="472">
        <v>19698.508682912598</v>
      </c>
      <c r="CO210" s="480">
        <v>695.59299999999996</v>
      </c>
      <c r="CP210" s="557"/>
      <c r="CQ210" s="474">
        <v>0</v>
      </c>
      <c r="CR210" s="474">
        <v>0</v>
      </c>
    </row>
    <row r="211" spans="1:96" x14ac:dyDescent="0.2">
      <c r="A211" s="154">
        <v>681</v>
      </c>
      <c r="B211" s="156" t="s">
        <v>236</v>
      </c>
      <c r="C211" s="325">
        <v>3297</v>
      </c>
      <c r="D211" s="270">
        <v>9.36</v>
      </c>
      <c r="E211" s="185"/>
      <c r="G211" s="272">
        <v>3731.7016800000001</v>
      </c>
      <c r="H211" s="272">
        <v>12842.7515</v>
      </c>
      <c r="I211" s="272"/>
      <c r="J211" s="272">
        <v>5281.1960199999994</v>
      </c>
      <c r="K211" s="272">
        <v>1239.17497</v>
      </c>
      <c r="L211" s="272">
        <v>1433.62653</v>
      </c>
      <c r="M211" s="272">
        <v>7953.9975199999999</v>
      </c>
      <c r="N211" s="272">
        <v>2628.4110000000001</v>
      </c>
      <c r="O211" s="272">
        <v>17.145869999999999</v>
      </c>
      <c r="P211" s="272">
        <v>85.59796</v>
      </c>
      <c r="Q211" s="272">
        <v>327.68402000000003</v>
      </c>
      <c r="R211" s="272">
        <v>4.5189899999999996</v>
      </c>
      <c r="S211" s="272">
        <v>1726.0716399999999</v>
      </c>
      <c r="U211" s="272">
        <v>1587.7548200000001</v>
      </c>
      <c r="V211" s="272">
        <v>0</v>
      </c>
      <c r="W211" s="272">
        <v>0</v>
      </c>
      <c r="X211" s="272">
        <v>138.31682000000001</v>
      </c>
      <c r="Y211" s="272">
        <v>0</v>
      </c>
      <c r="Z211" s="272">
        <v>0</v>
      </c>
      <c r="AA211" s="272">
        <v>0</v>
      </c>
      <c r="AB211" s="272">
        <v>138.31682000000001</v>
      </c>
      <c r="AD211" s="272">
        <v>3410.1661799999997</v>
      </c>
      <c r="AE211" s="157">
        <v>1697.7452599999999</v>
      </c>
      <c r="AF211" s="184">
        <v>0</v>
      </c>
      <c r="AG211" s="272">
        <v>-2382.3947599999997</v>
      </c>
      <c r="AH211" s="272">
        <v>64.601699999999994</v>
      </c>
      <c r="AI211" s="184">
        <v>80.7</v>
      </c>
      <c r="AJ211" s="272">
        <v>926.17207999999994</v>
      </c>
      <c r="AL211" s="272">
        <v>6443.2881200000002</v>
      </c>
      <c r="AM211" s="184">
        <v>18.41818</v>
      </c>
      <c r="AN211" s="272">
        <v>728.42292000000009</v>
      </c>
      <c r="AO211" s="343">
        <v>3246</v>
      </c>
      <c r="AP211" s="332">
        <v>9.4</v>
      </c>
      <c r="AQ211" s="448"/>
      <c r="AS211" s="455">
        <v>3547.2420400000001</v>
      </c>
      <c r="AT211" s="272">
        <v>12667.920630000001</v>
      </c>
      <c r="AU211" s="450"/>
      <c r="AV211" s="334">
        <v>5420.1202999999996</v>
      </c>
      <c r="AW211" s="334">
        <v>986.65403000000003</v>
      </c>
      <c r="AX211" s="334">
        <v>1538.63744</v>
      </c>
      <c r="AY211" s="334">
        <v>7945.4117699999997</v>
      </c>
      <c r="AZ211" s="334">
        <v>2618.5079999999998</v>
      </c>
      <c r="BA211" s="272">
        <v>10.886149999999999</v>
      </c>
      <c r="BB211" s="333">
        <v>132.70295000000002</v>
      </c>
      <c r="BC211" s="272">
        <v>572.15066999999999</v>
      </c>
      <c r="BD211" s="272">
        <v>24.433250000000001</v>
      </c>
      <c r="BE211" s="334">
        <v>1869.1418000000001</v>
      </c>
      <c r="BG211" s="331">
        <v>2138.1308599999998</v>
      </c>
      <c r="BH211" s="334">
        <v>0</v>
      </c>
      <c r="BI211" s="334">
        <v>0</v>
      </c>
      <c r="BJ211" s="334">
        <v>-268.98905999999999</v>
      </c>
      <c r="BK211" s="334">
        <v>0</v>
      </c>
      <c r="BL211" s="331">
        <v>0</v>
      </c>
      <c r="BM211" s="334">
        <v>0</v>
      </c>
      <c r="BN211" s="334">
        <v>-268.98905999999999</v>
      </c>
      <c r="BP211" s="334">
        <v>3141.1771200000003</v>
      </c>
      <c r="BQ211" s="311">
        <v>1792.84077</v>
      </c>
      <c r="BR211" s="272">
        <v>-76.301029999999997</v>
      </c>
      <c r="BS211" s="461">
        <v>-1906.0293100000001</v>
      </c>
      <c r="BT211" s="272">
        <v>0</v>
      </c>
      <c r="BU211" s="272">
        <v>76.86</v>
      </c>
      <c r="BV211" s="333">
        <v>968.21060999999997</v>
      </c>
      <c r="BX211" s="272">
        <v>6656.69308</v>
      </c>
      <c r="BY211" s="469">
        <v>218.29400000000001</v>
      </c>
      <c r="BZ211" s="469">
        <v>213.40495999999999</v>
      </c>
      <c r="CA211" s="552"/>
      <c r="CB211" s="335">
        <v>9.3999999999999986</v>
      </c>
      <c r="CC211" s="471">
        <f t="shared" si="3"/>
        <v>9.3999999999999986</v>
      </c>
      <c r="CD211" s="558"/>
      <c r="CE211" s="272"/>
      <c r="CF211" s="262"/>
      <c r="CI211" s="158">
        <v>0</v>
      </c>
      <c r="CJ211" s="331">
        <v>2839.5238209202871</v>
      </c>
      <c r="CK211" s="331">
        <v>2988.4892682707441</v>
      </c>
      <c r="CL211" s="331">
        <v>3104.1027538675653</v>
      </c>
      <c r="CM211" s="472">
        <v>3388.114403807178</v>
      </c>
      <c r="CN211" s="472">
        <v>3512.9100059419684</v>
      </c>
      <c r="CO211" s="480">
        <v>-7.9560000000000004</v>
      </c>
      <c r="CP211" s="557"/>
      <c r="CQ211" s="474">
        <v>0</v>
      </c>
      <c r="CR211" s="474">
        <v>0</v>
      </c>
    </row>
    <row r="212" spans="1:96" x14ac:dyDescent="0.2">
      <c r="A212" s="154">
        <v>683</v>
      </c>
      <c r="B212" s="156" t="s">
        <v>237</v>
      </c>
      <c r="C212" s="325">
        <v>3599</v>
      </c>
      <c r="D212" s="270">
        <v>7.1100000000000012</v>
      </c>
      <c r="E212" s="185"/>
      <c r="G212" s="272">
        <v>2417.92011</v>
      </c>
      <c r="H212" s="272">
        <v>16408.409739999999</v>
      </c>
      <c r="I212" s="272"/>
      <c r="J212" s="272">
        <v>3721.2199500000002</v>
      </c>
      <c r="K212" s="272">
        <v>696.29731000000004</v>
      </c>
      <c r="L212" s="272">
        <v>1135.5170500000002</v>
      </c>
      <c r="M212" s="272">
        <v>5553.03431</v>
      </c>
      <c r="N212" s="272">
        <v>8279.0910000000003</v>
      </c>
      <c r="O212" s="272">
        <v>43.901000000000003</v>
      </c>
      <c r="P212" s="272">
        <v>135.21449999999999</v>
      </c>
      <c r="Q212" s="272">
        <v>95.732460000000003</v>
      </c>
      <c r="R212" s="272">
        <v>108.07405</v>
      </c>
      <c r="S212" s="272">
        <v>-262.01940999999999</v>
      </c>
      <c r="U212" s="272">
        <v>800.31799000000001</v>
      </c>
      <c r="V212" s="272">
        <v>0</v>
      </c>
      <c r="W212" s="272">
        <v>0</v>
      </c>
      <c r="X212" s="272">
        <v>-1062.3373999999999</v>
      </c>
      <c r="Y212" s="272">
        <v>-14.01566</v>
      </c>
      <c r="Z212" s="272">
        <v>0</v>
      </c>
      <c r="AA212" s="272">
        <v>0</v>
      </c>
      <c r="AB212" s="272">
        <v>-1048.3217400000001</v>
      </c>
      <c r="AD212" s="272">
        <v>13364.78174</v>
      </c>
      <c r="AE212" s="157">
        <v>-262.25011000000001</v>
      </c>
      <c r="AF212" s="184">
        <v>-0.23069999999999999</v>
      </c>
      <c r="AG212" s="272">
        <v>-8158.3803200000002</v>
      </c>
      <c r="AH212" s="272">
        <v>0</v>
      </c>
      <c r="AI212" s="184">
        <v>2.88</v>
      </c>
      <c r="AJ212" s="272">
        <v>11330.730160000001</v>
      </c>
      <c r="AL212" s="272">
        <v>11500.03</v>
      </c>
      <c r="AM212" s="184">
        <v>29.045639999999999</v>
      </c>
      <c r="AN212" s="272">
        <v>9155.1759999999995</v>
      </c>
      <c r="AO212" s="343">
        <v>3570</v>
      </c>
      <c r="AP212" s="332">
        <v>7.1</v>
      </c>
      <c r="AQ212" s="448"/>
      <c r="AS212" s="455">
        <v>2077.1651299999999</v>
      </c>
      <c r="AT212" s="272">
        <v>16375.64321</v>
      </c>
      <c r="AU212" s="450"/>
      <c r="AV212" s="334">
        <v>4074.9303799999998</v>
      </c>
      <c r="AW212" s="334">
        <v>547.88710000000003</v>
      </c>
      <c r="AX212" s="334">
        <v>1131.12283</v>
      </c>
      <c r="AY212" s="334">
        <v>5753.94031</v>
      </c>
      <c r="AZ212" s="334">
        <v>8389.0409999999993</v>
      </c>
      <c r="BA212" s="272">
        <v>67.060720000000003</v>
      </c>
      <c r="BB212" s="333">
        <v>511.69704999999999</v>
      </c>
      <c r="BC212" s="272">
        <v>486.13228000000004</v>
      </c>
      <c r="BD212" s="272">
        <v>-9.953520000000001</v>
      </c>
      <c r="BE212" s="334">
        <v>-104.04730000000001</v>
      </c>
      <c r="BG212" s="331">
        <v>1068.8676399999999</v>
      </c>
      <c r="BH212" s="331">
        <v>0</v>
      </c>
      <c r="BI212" s="331">
        <v>0</v>
      </c>
      <c r="BJ212" s="334">
        <v>-1172.9149399999999</v>
      </c>
      <c r="BK212" s="331">
        <v>-14.01566</v>
      </c>
      <c r="BL212" s="331">
        <v>0</v>
      </c>
      <c r="BM212" s="331">
        <v>0</v>
      </c>
      <c r="BN212" s="334">
        <v>-1158.8992800000001</v>
      </c>
      <c r="BP212" s="334">
        <v>12309.948200000001</v>
      </c>
      <c r="BQ212" s="311">
        <v>234.12136999999998</v>
      </c>
      <c r="BR212" s="272">
        <v>338.16866999999996</v>
      </c>
      <c r="BS212" s="461">
        <v>-6723.2552900000001</v>
      </c>
      <c r="BT212" s="272">
        <v>0</v>
      </c>
      <c r="BU212" s="272">
        <v>934.85699999999997</v>
      </c>
      <c r="BV212" s="333">
        <v>9822.3472300000012</v>
      </c>
      <c r="BX212" s="272">
        <v>14726.36</v>
      </c>
      <c r="BY212" s="469">
        <v>94.854669999999999</v>
      </c>
      <c r="BZ212" s="469">
        <v>3226.33</v>
      </c>
      <c r="CA212" s="552"/>
      <c r="CB212" s="335">
        <v>8.1</v>
      </c>
      <c r="CC212" s="471">
        <f t="shared" si="3"/>
        <v>8.1</v>
      </c>
      <c r="CD212" s="558"/>
      <c r="CE212" s="272"/>
      <c r="CF212" s="262"/>
      <c r="CI212" s="158">
        <v>0</v>
      </c>
      <c r="CJ212" s="331">
        <v>9058.7525867936911</v>
      </c>
      <c r="CK212" s="331">
        <v>9071.8539527465236</v>
      </c>
      <c r="CL212" s="331">
        <v>8548.6429757694641</v>
      </c>
      <c r="CM212" s="472">
        <v>8755.4756234569722</v>
      </c>
      <c r="CN212" s="472">
        <v>8795.511306313143</v>
      </c>
      <c r="CO212" s="480">
        <v>286.024</v>
      </c>
      <c r="CP212" s="557"/>
      <c r="CQ212" s="474">
        <v>0</v>
      </c>
      <c r="CR212" s="474">
        <v>0</v>
      </c>
    </row>
    <row r="213" spans="1:96" x14ac:dyDescent="0.2">
      <c r="A213" s="154">
        <v>684</v>
      </c>
      <c r="B213" s="156" t="s">
        <v>238</v>
      </c>
      <c r="C213" s="325">
        <v>38832</v>
      </c>
      <c r="D213" s="270">
        <v>7.86</v>
      </c>
      <c r="E213" s="185"/>
      <c r="G213" s="272">
        <v>42660.666090000006</v>
      </c>
      <c r="H213" s="272">
        <v>131890.01246</v>
      </c>
      <c r="I213" s="272"/>
      <c r="J213" s="272">
        <v>73668.75351000001</v>
      </c>
      <c r="K213" s="272">
        <v>15755.82267</v>
      </c>
      <c r="L213" s="272">
        <v>9792.5762799999993</v>
      </c>
      <c r="M213" s="272">
        <v>99217.152459999998</v>
      </c>
      <c r="N213" s="272">
        <v>20905.493999999999</v>
      </c>
      <c r="O213" s="272">
        <v>1950.2000600000001</v>
      </c>
      <c r="P213" s="272">
        <v>685.86443999999995</v>
      </c>
      <c r="Q213" s="272">
        <v>437.75214</v>
      </c>
      <c r="R213" s="272">
        <v>166.55368999999999</v>
      </c>
      <c r="S213" s="272">
        <v>32428.834159999999</v>
      </c>
      <c r="U213" s="272">
        <v>19351.69527</v>
      </c>
      <c r="V213" s="272">
        <v>0</v>
      </c>
      <c r="W213" s="272">
        <v>0</v>
      </c>
      <c r="X213" s="272">
        <v>13077.13889</v>
      </c>
      <c r="Y213" s="272">
        <v>-59.25468</v>
      </c>
      <c r="Z213" s="272">
        <v>9000</v>
      </c>
      <c r="AA213" s="272">
        <v>0</v>
      </c>
      <c r="AB213" s="272">
        <v>4136.3935700000002</v>
      </c>
      <c r="AD213" s="272">
        <v>111648.32876</v>
      </c>
      <c r="AE213" s="157">
        <v>30642.903019999998</v>
      </c>
      <c r="AF213" s="184">
        <v>-1785.9311399999999</v>
      </c>
      <c r="AG213" s="272">
        <v>-44541.970240000002</v>
      </c>
      <c r="AH213" s="272">
        <v>1071.71</v>
      </c>
      <c r="AI213" s="184">
        <v>1814.36418</v>
      </c>
      <c r="AJ213" s="272">
        <v>17028.852199999998</v>
      </c>
      <c r="AL213" s="272">
        <v>79633.337999999989</v>
      </c>
      <c r="AM213" s="184">
        <v>19.2</v>
      </c>
      <c r="AN213" s="272">
        <v>22433.333999999999</v>
      </c>
      <c r="AO213" s="343">
        <v>38968</v>
      </c>
      <c r="AP213" s="332">
        <v>7.9</v>
      </c>
      <c r="AQ213" s="448"/>
      <c r="AS213" s="455">
        <v>44529.188620000001</v>
      </c>
      <c r="AT213" s="272">
        <v>135105.42631000001</v>
      </c>
      <c r="AU213" s="450"/>
      <c r="AV213" s="334">
        <v>73070.361900000004</v>
      </c>
      <c r="AW213" s="334">
        <v>16608.442920000001</v>
      </c>
      <c r="AX213" s="334">
        <v>10112.901</v>
      </c>
      <c r="AY213" s="334">
        <v>99791.705819999988</v>
      </c>
      <c r="AZ213" s="334">
        <v>10638.929</v>
      </c>
      <c r="BA213" s="272">
        <v>2730.5293500000002</v>
      </c>
      <c r="BB213" s="333">
        <v>1704.7479699999999</v>
      </c>
      <c r="BC213" s="272">
        <v>1295.31025</v>
      </c>
      <c r="BD213" s="272">
        <v>98.156360000000006</v>
      </c>
      <c r="BE213" s="334">
        <v>22077.332399999999</v>
      </c>
      <c r="BG213" s="331">
        <v>16561.09419</v>
      </c>
      <c r="BH213" s="331">
        <v>0</v>
      </c>
      <c r="BI213" s="331">
        <v>0</v>
      </c>
      <c r="BJ213" s="334">
        <v>5516.2382099999995</v>
      </c>
      <c r="BK213" s="334">
        <v>24199.07862</v>
      </c>
      <c r="BL213" s="331">
        <v>-24600</v>
      </c>
      <c r="BM213" s="331">
        <v>0</v>
      </c>
      <c r="BN213" s="334">
        <v>5917.1595900000002</v>
      </c>
      <c r="BP213" s="334">
        <v>117565.48835000001</v>
      </c>
      <c r="BQ213" s="311">
        <v>21659.537130000001</v>
      </c>
      <c r="BR213" s="272">
        <v>-417.79527000000002</v>
      </c>
      <c r="BS213" s="461">
        <v>-41694.219299999997</v>
      </c>
      <c r="BT213" s="272">
        <v>883.99</v>
      </c>
      <c r="BU213" s="272">
        <v>416.51909999999998</v>
      </c>
      <c r="BV213" s="333">
        <v>9691.9526900000001</v>
      </c>
      <c r="BX213" s="272">
        <v>90566.672000000006</v>
      </c>
      <c r="BY213" s="469">
        <v>-191.95414000000002</v>
      </c>
      <c r="BZ213" s="469">
        <v>10933.334000000001</v>
      </c>
      <c r="CA213" s="552"/>
      <c r="CB213" s="335">
        <v>7.9</v>
      </c>
      <c r="CC213" s="471">
        <f t="shared" si="3"/>
        <v>7.9</v>
      </c>
      <c r="CD213" s="558"/>
      <c r="CE213" s="272"/>
      <c r="CF213" s="262"/>
      <c r="CI213" s="158">
        <v>0</v>
      </c>
      <c r="CJ213" s="331">
        <v>14211.571285428714</v>
      </c>
      <c r="CK213" s="331">
        <v>14960.031743522819</v>
      </c>
      <c r="CL213" s="331">
        <v>16078.97897436924</v>
      </c>
      <c r="CM213" s="472">
        <v>17744.665648349535</v>
      </c>
      <c r="CN213" s="472">
        <v>18200.976168808837</v>
      </c>
      <c r="CO213" s="480">
        <v>-68.721000000000004</v>
      </c>
      <c r="CP213" s="557"/>
      <c r="CQ213" s="474">
        <v>0</v>
      </c>
      <c r="CR213" s="474">
        <v>0</v>
      </c>
    </row>
    <row r="214" spans="1:96" x14ac:dyDescent="0.2">
      <c r="A214" s="154">
        <v>686</v>
      </c>
      <c r="B214" s="156" t="s">
        <v>239</v>
      </c>
      <c r="C214" s="325">
        <v>2933</v>
      </c>
      <c r="D214" s="270">
        <v>9.86</v>
      </c>
      <c r="E214" s="185"/>
      <c r="G214" s="272">
        <v>2767.0916200000001</v>
      </c>
      <c r="H214" s="272">
        <v>11627.892330000001</v>
      </c>
      <c r="I214" s="272"/>
      <c r="J214" s="272">
        <v>5069.8254400000005</v>
      </c>
      <c r="K214" s="272">
        <v>737.67558999999994</v>
      </c>
      <c r="L214" s="272">
        <v>1320.4568999999999</v>
      </c>
      <c r="M214" s="272">
        <v>7127.9579299999996</v>
      </c>
      <c r="N214" s="272">
        <v>1971.6780000000001</v>
      </c>
      <c r="O214" s="272">
        <v>9.2540300000000002</v>
      </c>
      <c r="P214" s="272">
        <v>279.97434999999996</v>
      </c>
      <c r="Q214" s="272">
        <v>519.16701999999998</v>
      </c>
      <c r="R214" s="272">
        <v>0.65458000000000005</v>
      </c>
      <c r="S214" s="272">
        <v>486.62734</v>
      </c>
      <c r="U214" s="272">
        <v>1109.6238899999998</v>
      </c>
      <c r="V214" s="272">
        <v>0</v>
      </c>
      <c r="W214" s="272">
        <v>0</v>
      </c>
      <c r="X214" s="272">
        <v>-622.99655000000007</v>
      </c>
      <c r="Y214" s="272">
        <v>0</v>
      </c>
      <c r="Z214" s="272">
        <v>0</v>
      </c>
      <c r="AA214" s="272">
        <v>0</v>
      </c>
      <c r="AB214" s="272">
        <v>-622.99655000000007</v>
      </c>
      <c r="AD214" s="272">
        <v>3616.9830400000001</v>
      </c>
      <c r="AE214" s="157">
        <v>753.97384</v>
      </c>
      <c r="AF214" s="184">
        <v>267.34649999999999</v>
      </c>
      <c r="AG214" s="272">
        <v>-83.850490000000008</v>
      </c>
      <c r="AH214" s="272">
        <v>0</v>
      </c>
      <c r="AI214" s="184">
        <v>20.5</v>
      </c>
      <c r="AJ214" s="272">
        <v>157.59570000000002</v>
      </c>
      <c r="AL214" s="272">
        <v>10102.574000000001</v>
      </c>
      <c r="AM214" s="184">
        <v>0</v>
      </c>
      <c r="AN214" s="272">
        <v>-2776.3991299999998</v>
      </c>
      <c r="AO214" s="343">
        <v>2935</v>
      </c>
      <c r="AP214" s="332">
        <v>9.9</v>
      </c>
      <c r="AQ214" s="448"/>
      <c r="AS214" s="455">
        <v>2585.2746499999998</v>
      </c>
      <c r="AT214" s="272">
        <v>10886.536900000001</v>
      </c>
      <c r="AU214" s="450"/>
      <c r="AV214" s="334">
        <v>5008.4447300000002</v>
      </c>
      <c r="AW214" s="334">
        <v>606.89032999999995</v>
      </c>
      <c r="AX214" s="334">
        <v>1400.9023</v>
      </c>
      <c r="AY214" s="334">
        <v>7016.2373600000001</v>
      </c>
      <c r="AZ214" s="334">
        <v>2715.1089999999999</v>
      </c>
      <c r="BA214" s="272">
        <v>5.6088699999999996</v>
      </c>
      <c r="BB214" s="333">
        <v>263.76067999999998</v>
      </c>
      <c r="BC214" s="272">
        <v>697.80498</v>
      </c>
      <c r="BD214" s="272">
        <v>2.3170999999999999</v>
      </c>
      <c r="BE214" s="334">
        <v>1867.4201799999998</v>
      </c>
      <c r="BG214" s="331">
        <v>1306.2262900000001</v>
      </c>
      <c r="BH214" s="331">
        <v>0</v>
      </c>
      <c r="BI214" s="331">
        <v>0</v>
      </c>
      <c r="BJ214" s="334">
        <v>561.19389000000001</v>
      </c>
      <c r="BK214" s="334">
        <v>0</v>
      </c>
      <c r="BL214" s="334">
        <v>0</v>
      </c>
      <c r="BM214" s="331">
        <v>0</v>
      </c>
      <c r="BN214" s="334">
        <v>561.19389000000001</v>
      </c>
      <c r="BP214" s="334">
        <v>4178.1769300000005</v>
      </c>
      <c r="BQ214" s="311">
        <v>1821.78268</v>
      </c>
      <c r="BR214" s="272">
        <v>-45.637500000000003</v>
      </c>
      <c r="BS214" s="461">
        <v>-476.57826</v>
      </c>
      <c r="BT214" s="272">
        <v>0</v>
      </c>
      <c r="BU214" s="272">
        <v>67.314999999999998</v>
      </c>
      <c r="BV214" s="333">
        <v>119.95211999999999</v>
      </c>
      <c r="BX214" s="272">
        <v>8468.86</v>
      </c>
      <c r="BY214" s="469">
        <v>0</v>
      </c>
      <c r="BZ214" s="469">
        <v>-1431.5308</v>
      </c>
      <c r="CA214" s="552"/>
      <c r="CB214" s="335">
        <v>9.9</v>
      </c>
      <c r="CC214" s="471">
        <f t="shared" si="3"/>
        <v>9.9</v>
      </c>
      <c r="CD214" s="558"/>
      <c r="CE214" s="272"/>
      <c r="CF214" s="262"/>
      <c r="CI214" s="158">
        <v>0</v>
      </c>
      <c r="CJ214" s="331">
        <v>2835.7917695854831</v>
      </c>
      <c r="CK214" s="331">
        <v>2787.3689336735333</v>
      </c>
      <c r="CL214" s="331">
        <v>3042.962307916077</v>
      </c>
      <c r="CM214" s="472">
        <v>3083.4749744992337</v>
      </c>
      <c r="CN214" s="472">
        <v>3335.7732466626585</v>
      </c>
      <c r="CO214" s="480">
        <v>727.71900000000005</v>
      </c>
      <c r="CP214" s="557"/>
      <c r="CQ214" s="474">
        <v>0</v>
      </c>
      <c r="CR214" s="474">
        <v>0</v>
      </c>
    </row>
    <row r="215" spans="1:96" x14ac:dyDescent="0.2">
      <c r="A215" s="154">
        <v>687</v>
      </c>
      <c r="B215" s="156" t="s">
        <v>240</v>
      </c>
      <c r="C215" s="325">
        <v>1424</v>
      </c>
      <c r="D215" s="270">
        <v>9.36</v>
      </c>
      <c r="E215" s="185"/>
      <c r="G215" s="272">
        <v>2772.4655400000001</v>
      </c>
      <c r="H215" s="272">
        <v>6976.7775899999997</v>
      </c>
      <c r="I215" s="272"/>
      <c r="J215" s="272">
        <v>1999.05539</v>
      </c>
      <c r="K215" s="272">
        <v>1284.5111399999998</v>
      </c>
      <c r="L215" s="272">
        <v>486.32891999999998</v>
      </c>
      <c r="M215" s="272">
        <v>3769.89545</v>
      </c>
      <c r="N215" s="272">
        <v>927.78099999999995</v>
      </c>
      <c r="O215" s="272">
        <v>68.919749999999993</v>
      </c>
      <c r="P215" s="272">
        <v>132.72581</v>
      </c>
      <c r="Q215" s="272">
        <v>352.26461</v>
      </c>
      <c r="R215" s="272">
        <v>117.65096000000001</v>
      </c>
      <c r="S215" s="272">
        <v>664.17198999999994</v>
      </c>
      <c r="U215" s="272">
        <v>737.41675999999995</v>
      </c>
      <c r="V215" s="272">
        <v>0</v>
      </c>
      <c r="W215" s="272">
        <v>0</v>
      </c>
      <c r="X215" s="272">
        <v>-73.244770000000003</v>
      </c>
      <c r="Y215" s="272">
        <v>0</v>
      </c>
      <c r="Z215" s="272">
        <v>0</v>
      </c>
      <c r="AA215" s="272">
        <v>0</v>
      </c>
      <c r="AB215" s="272">
        <v>-73.244770000000003</v>
      </c>
      <c r="AD215" s="272">
        <v>9700.1780600000002</v>
      </c>
      <c r="AE215" s="157">
        <v>889.73577999999998</v>
      </c>
      <c r="AF215" s="184">
        <v>225.56379000000001</v>
      </c>
      <c r="AG215" s="272">
        <v>-458.53566999999998</v>
      </c>
      <c r="AH215" s="272">
        <v>41.9</v>
      </c>
      <c r="AI215" s="184">
        <v>12.1</v>
      </c>
      <c r="AJ215" s="272">
        <v>2767.8359399999999</v>
      </c>
      <c r="AL215" s="272">
        <v>5539.3227099999995</v>
      </c>
      <c r="AM215" s="184">
        <v>0</v>
      </c>
      <c r="AN215" s="272">
        <v>-941.26599999999996</v>
      </c>
      <c r="AO215" s="343">
        <v>1413</v>
      </c>
      <c r="AP215" s="332">
        <v>9.4</v>
      </c>
      <c r="AQ215" s="448"/>
      <c r="AS215" s="455">
        <v>2864.2131899999999</v>
      </c>
      <c r="AT215" s="272">
        <v>6889.5927599999995</v>
      </c>
      <c r="AU215" s="450"/>
      <c r="AV215" s="334">
        <v>1986.9929999999999</v>
      </c>
      <c r="AW215" s="334">
        <v>1097.26036</v>
      </c>
      <c r="AX215" s="334">
        <v>503.50927000000001</v>
      </c>
      <c r="AY215" s="334">
        <v>3587.7626299999997</v>
      </c>
      <c r="AZ215" s="334">
        <v>1512.827</v>
      </c>
      <c r="BA215" s="272">
        <v>79.649240000000006</v>
      </c>
      <c r="BB215" s="333">
        <v>127.27414999999999</v>
      </c>
      <c r="BC215" s="272">
        <v>408.42409000000004</v>
      </c>
      <c r="BD215" s="272">
        <v>2.6271499999999999</v>
      </c>
      <c r="BE215" s="334">
        <v>1433.3820900000001</v>
      </c>
      <c r="BG215" s="331">
        <v>756.76631999999995</v>
      </c>
      <c r="BH215" s="331">
        <v>0</v>
      </c>
      <c r="BI215" s="331">
        <v>0</v>
      </c>
      <c r="BJ215" s="334">
        <v>676.61577</v>
      </c>
      <c r="BK215" s="331">
        <v>0</v>
      </c>
      <c r="BL215" s="331">
        <v>0</v>
      </c>
      <c r="BM215" s="331">
        <v>0</v>
      </c>
      <c r="BN215" s="334">
        <v>676.61577</v>
      </c>
      <c r="BP215" s="334">
        <v>10376.793830000001</v>
      </c>
      <c r="BQ215" s="311">
        <v>1164.6681100000001</v>
      </c>
      <c r="BR215" s="272">
        <v>-268.71397999999999</v>
      </c>
      <c r="BS215" s="461">
        <v>-443.68533000000002</v>
      </c>
      <c r="BT215" s="272">
        <v>0</v>
      </c>
      <c r="BU215" s="272">
        <v>0</v>
      </c>
      <c r="BV215" s="333">
        <v>3168.5146500000001</v>
      </c>
      <c r="BX215" s="272">
        <v>5033.2397099999998</v>
      </c>
      <c r="BY215" s="469">
        <v>13.118649999999999</v>
      </c>
      <c r="BZ215" s="469">
        <v>-506.08300000000003</v>
      </c>
      <c r="CA215" s="552"/>
      <c r="CB215" s="335">
        <v>9.4</v>
      </c>
      <c r="CC215" s="471">
        <f t="shared" si="3"/>
        <v>9.4</v>
      </c>
      <c r="CD215" s="558"/>
      <c r="CE215" s="272"/>
      <c r="CF215" s="262"/>
      <c r="CI215" s="158">
        <v>0</v>
      </c>
      <c r="CJ215" s="331">
        <v>2055.1233455310862</v>
      </c>
      <c r="CK215" s="331">
        <v>2007.7199909957617</v>
      </c>
      <c r="CL215" s="331">
        <v>2083.400691224736</v>
      </c>
      <c r="CM215" s="472">
        <v>2151.7786719117776</v>
      </c>
      <c r="CN215" s="472">
        <v>2168.7554737858741</v>
      </c>
      <c r="CO215" s="480">
        <v>308.14499999999998</v>
      </c>
      <c r="CP215" s="557"/>
      <c r="CQ215" s="474">
        <v>0</v>
      </c>
      <c r="CR215" s="474">
        <v>0</v>
      </c>
    </row>
    <row r="216" spans="1:96" x14ac:dyDescent="0.2">
      <c r="A216" s="154">
        <v>689</v>
      </c>
      <c r="B216" s="156" t="s">
        <v>241</v>
      </c>
      <c r="C216" s="325">
        <v>3032</v>
      </c>
      <c r="D216" s="270">
        <v>8.36</v>
      </c>
      <c r="E216" s="185"/>
      <c r="G216" s="272">
        <v>2909.7771600000001</v>
      </c>
      <c r="H216" s="272">
        <v>10597.840850000001</v>
      </c>
      <c r="I216" s="272"/>
      <c r="J216" s="272">
        <v>5301.6812900000004</v>
      </c>
      <c r="K216" s="272">
        <v>2408.8915200000001</v>
      </c>
      <c r="L216" s="272">
        <v>844.20352000000003</v>
      </c>
      <c r="M216" s="272">
        <v>8554.7763300000006</v>
      </c>
      <c r="N216" s="272">
        <v>2983.3960000000002</v>
      </c>
      <c r="O216" s="272">
        <v>16.84308</v>
      </c>
      <c r="P216" s="272">
        <v>90.307600000000008</v>
      </c>
      <c r="Q216" s="272">
        <v>89.322749999999999</v>
      </c>
      <c r="R216" s="272">
        <v>2.9923200000000003</v>
      </c>
      <c r="S216" s="272">
        <v>3862.9745499999999</v>
      </c>
      <c r="U216" s="272">
        <v>1533.3281200000001</v>
      </c>
      <c r="V216" s="272">
        <v>0</v>
      </c>
      <c r="W216" s="272">
        <v>0</v>
      </c>
      <c r="X216" s="272">
        <v>2329.6464300000002</v>
      </c>
      <c r="Y216" s="272">
        <v>-106.99966000000001</v>
      </c>
      <c r="Z216" s="272">
        <v>0</v>
      </c>
      <c r="AA216" s="272">
        <v>0</v>
      </c>
      <c r="AB216" s="272">
        <v>2436.6460899999997</v>
      </c>
      <c r="AD216" s="272">
        <v>11769.394629999999</v>
      </c>
      <c r="AE216" s="157">
        <v>3748.2628199999999</v>
      </c>
      <c r="AF216" s="184">
        <v>-114.71173</v>
      </c>
      <c r="AG216" s="272">
        <v>-2588.6001000000001</v>
      </c>
      <c r="AH216" s="272">
        <v>28.8</v>
      </c>
      <c r="AI216" s="184">
        <v>726.5735699999999</v>
      </c>
      <c r="AJ216" s="272">
        <v>3961.4360299999998</v>
      </c>
      <c r="AL216" s="272">
        <v>3570.7617</v>
      </c>
      <c r="AM216" s="184">
        <v>-154.37736999999998</v>
      </c>
      <c r="AN216" s="272">
        <v>-563.11400000000003</v>
      </c>
      <c r="AO216" s="343">
        <v>3008</v>
      </c>
      <c r="AP216" s="332">
        <v>8.3000000000000007</v>
      </c>
      <c r="AQ216" s="448"/>
      <c r="AS216" s="455">
        <v>2729.5899399999998</v>
      </c>
      <c r="AT216" s="272">
        <v>10853.94844</v>
      </c>
      <c r="AU216" s="450"/>
      <c r="AV216" s="334">
        <v>5065.3262199999999</v>
      </c>
      <c r="AW216" s="334">
        <v>1305.70081</v>
      </c>
      <c r="AX216" s="334">
        <v>937.27945999999997</v>
      </c>
      <c r="AY216" s="334">
        <v>7308.3064899999999</v>
      </c>
      <c r="AZ216" s="334">
        <v>2341.7959999999998</v>
      </c>
      <c r="BA216" s="272">
        <v>41.397649999999999</v>
      </c>
      <c r="BB216" s="333">
        <v>94.900949999999995</v>
      </c>
      <c r="BC216" s="272">
        <v>70.380200000000002</v>
      </c>
      <c r="BD216" s="272">
        <v>3.46515</v>
      </c>
      <c r="BE216" s="334">
        <v>1539.1557399999999</v>
      </c>
      <c r="BG216" s="331">
        <v>1605.54519</v>
      </c>
      <c r="BH216" s="331">
        <v>0</v>
      </c>
      <c r="BI216" s="331">
        <v>0</v>
      </c>
      <c r="BJ216" s="334">
        <v>-66.389449999999997</v>
      </c>
      <c r="BK216" s="331">
        <v>-106.99966000000001</v>
      </c>
      <c r="BL216" s="331">
        <v>0</v>
      </c>
      <c r="BM216" s="331">
        <v>0</v>
      </c>
      <c r="BN216" s="334">
        <v>40.610210000000002</v>
      </c>
      <c r="BP216" s="334">
        <v>11810.004840000001</v>
      </c>
      <c r="BQ216" s="311">
        <v>1539.1557399999999</v>
      </c>
      <c r="BR216" s="272">
        <v>0</v>
      </c>
      <c r="BS216" s="461">
        <v>-994.68403000000001</v>
      </c>
      <c r="BT216" s="272">
        <v>20</v>
      </c>
      <c r="BU216" s="272">
        <v>0</v>
      </c>
      <c r="BV216" s="333">
        <v>3493.0202100000001</v>
      </c>
      <c r="BX216" s="272">
        <v>3007.6477</v>
      </c>
      <c r="BY216" s="469">
        <v>79.529660000000007</v>
      </c>
      <c r="BZ216" s="469">
        <v>-563.11400000000003</v>
      </c>
      <c r="CA216" s="552"/>
      <c r="CB216" s="335">
        <v>8.5</v>
      </c>
      <c r="CC216" s="471">
        <f t="shared" si="3"/>
        <v>8.5</v>
      </c>
      <c r="CD216" s="558"/>
      <c r="CE216" s="272"/>
      <c r="CF216" s="262"/>
      <c r="CI216" s="158">
        <v>0</v>
      </c>
      <c r="CJ216" s="331">
        <v>2681.2313618442522</v>
      </c>
      <c r="CK216" s="331">
        <v>3330.0470358670136</v>
      </c>
      <c r="CL216" s="331">
        <v>3411.9388896471596</v>
      </c>
      <c r="CM216" s="472">
        <v>3695.6810199957677</v>
      </c>
      <c r="CN216" s="472">
        <v>3805.5901875370928</v>
      </c>
      <c r="CO216" s="480">
        <v>32.441000000000003</v>
      </c>
      <c r="CP216" s="557"/>
      <c r="CQ216" s="474">
        <v>0</v>
      </c>
      <c r="CR216" s="474">
        <v>0</v>
      </c>
    </row>
    <row r="217" spans="1:96" x14ac:dyDescent="0.2">
      <c r="A217" s="154">
        <v>691</v>
      </c>
      <c r="B217" s="156" t="s">
        <v>242</v>
      </c>
      <c r="C217" s="325">
        <v>2598</v>
      </c>
      <c r="D217" s="270">
        <v>9.86</v>
      </c>
      <c r="E217" s="185"/>
      <c r="G217" s="272">
        <v>1989.4728600000001</v>
      </c>
      <c r="H217" s="272">
        <v>10456.646640000001</v>
      </c>
      <c r="I217" s="272"/>
      <c r="J217" s="272">
        <v>4337.0132999999996</v>
      </c>
      <c r="K217" s="272">
        <v>437.96537000000001</v>
      </c>
      <c r="L217" s="272">
        <v>731.62466000000006</v>
      </c>
      <c r="M217" s="272">
        <v>5506.6033299999999</v>
      </c>
      <c r="N217" s="272">
        <v>5091.5829999999996</v>
      </c>
      <c r="O217" s="272">
        <v>112.53662</v>
      </c>
      <c r="P217" s="272">
        <v>627.30557999999996</v>
      </c>
      <c r="Q217" s="272">
        <v>1553.10374</v>
      </c>
      <c r="R217" s="272">
        <v>1696.79646</v>
      </c>
      <c r="S217" s="272">
        <v>1472.55087</v>
      </c>
      <c r="U217" s="272">
        <v>1192.29574</v>
      </c>
      <c r="V217" s="272">
        <v>0</v>
      </c>
      <c r="W217" s="272">
        <v>0</v>
      </c>
      <c r="X217" s="272">
        <v>280.25513000000001</v>
      </c>
      <c r="Y217" s="272">
        <v>0</v>
      </c>
      <c r="Z217" s="272">
        <v>0</v>
      </c>
      <c r="AA217" s="272">
        <v>0</v>
      </c>
      <c r="AB217" s="272">
        <v>280.25513000000001</v>
      </c>
      <c r="AD217" s="272">
        <v>1204.62572</v>
      </c>
      <c r="AE217" s="157">
        <v>1445.3508700000002</v>
      </c>
      <c r="AF217" s="184">
        <v>-27.2</v>
      </c>
      <c r="AG217" s="272">
        <v>-1441.4623300000001</v>
      </c>
      <c r="AH217" s="272">
        <v>55.9</v>
      </c>
      <c r="AI217" s="184">
        <v>507.98230000000001</v>
      </c>
      <c r="AJ217" s="272">
        <v>9032.1613600000001</v>
      </c>
      <c r="AL217" s="272">
        <v>28538.409019999999</v>
      </c>
      <c r="AM217" s="184">
        <v>24.86411</v>
      </c>
      <c r="AN217" s="272">
        <v>83.850409999999997</v>
      </c>
      <c r="AO217" s="343">
        <v>2556</v>
      </c>
      <c r="AP217" s="332">
        <v>9.9</v>
      </c>
      <c r="AQ217" s="448"/>
      <c r="AS217" s="455">
        <v>2056.8350800000003</v>
      </c>
      <c r="AT217" s="272">
        <v>10170.70017</v>
      </c>
      <c r="AU217" s="450"/>
      <c r="AV217" s="334">
        <v>4458.8233499999997</v>
      </c>
      <c r="AW217" s="334">
        <v>336.53053000000006</v>
      </c>
      <c r="AX217" s="334">
        <v>840.76222999999993</v>
      </c>
      <c r="AY217" s="334">
        <v>5636.1161099999999</v>
      </c>
      <c r="AZ217" s="334">
        <v>4592.442</v>
      </c>
      <c r="BA217" s="272">
        <v>104.25885000000001</v>
      </c>
      <c r="BB217" s="333">
        <v>811.41300000000001</v>
      </c>
      <c r="BC217" s="272">
        <v>2029.81963</v>
      </c>
      <c r="BD217" s="272">
        <v>2869.25135</v>
      </c>
      <c r="BE217" s="334">
        <v>568.10715000000005</v>
      </c>
      <c r="BG217" s="331">
        <v>1293.50161</v>
      </c>
      <c r="BH217" s="331">
        <v>0</v>
      </c>
      <c r="BI217" s="331">
        <v>0</v>
      </c>
      <c r="BJ217" s="334">
        <v>-725.39445999999998</v>
      </c>
      <c r="BK217" s="331">
        <v>0</v>
      </c>
      <c r="BL217" s="331">
        <v>0</v>
      </c>
      <c r="BM217" s="331">
        <v>0</v>
      </c>
      <c r="BN217" s="334">
        <v>-725.39445999999998</v>
      </c>
      <c r="BP217" s="334">
        <v>479.23126000000002</v>
      </c>
      <c r="BQ217" s="311">
        <v>568.10715000000005</v>
      </c>
      <c r="BR217" s="272">
        <v>0</v>
      </c>
      <c r="BS217" s="461">
        <v>-1123.8930399999999</v>
      </c>
      <c r="BT217" s="272">
        <v>116.1242</v>
      </c>
      <c r="BU217" s="272">
        <v>47.578000000000003</v>
      </c>
      <c r="BV217" s="333">
        <v>8494.4603000000006</v>
      </c>
      <c r="BX217" s="272">
        <v>28384.964110000001</v>
      </c>
      <c r="BY217" s="469">
        <v>23.32441</v>
      </c>
      <c r="BZ217" s="469">
        <v>-153.44490999999999</v>
      </c>
      <c r="CA217" s="552"/>
      <c r="CB217" s="335">
        <v>10.199999999999999</v>
      </c>
      <c r="CC217" s="471">
        <f t="shared" si="3"/>
        <v>10.199999999999999</v>
      </c>
      <c r="CD217" s="558"/>
      <c r="CE217" s="272"/>
      <c r="CF217" s="262"/>
      <c r="CG217" s="260"/>
      <c r="CI217" s="158">
        <v>0</v>
      </c>
      <c r="CJ217" s="331">
        <v>4721.7048990965668</v>
      </c>
      <c r="CK217" s="331">
        <v>4832.1292422726883</v>
      </c>
      <c r="CL217" s="331">
        <v>4802.5897632831511</v>
      </c>
      <c r="CM217" s="472">
        <v>5280.5766872203067</v>
      </c>
      <c r="CN217" s="472">
        <v>5467.5337055279924</v>
      </c>
      <c r="CO217" s="480">
        <v>88.156999999999996</v>
      </c>
      <c r="CP217" s="557"/>
      <c r="CQ217" s="474">
        <v>0</v>
      </c>
      <c r="CR217" s="474">
        <v>0</v>
      </c>
    </row>
    <row r="218" spans="1:96" x14ac:dyDescent="0.2">
      <c r="A218" s="154">
        <v>694</v>
      </c>
      <c r="B218" s="156" t="s">
        <v>243</v>
      </c>
      <c r="C218" s="325">
        <v>28483</v>
      </c>
      <c r="D218" s="270">
        <v>7.86</v>
      </c>
      <c r="E218" s="185"/>
      <c r="G218" s="272">
        <v>30973.487460000004</v>
      </c>
      <c r="H218" s="272">
        <v>100223.08662999999</v>
      </c>
      <c r="I218" s="272"/>
      <c r="J218" s="272">
        <v>54572.624170000003</v>
      </c>
      <c r="K218" s="272">
        <v>11762.78916</v>
      </c>
      <c r="L218" s="272">
        <v>10328.113939999999</v>
      </c>
      <c r="M218" s="272">
        <v>76663.527269999991</v>
      </c>
      <c r="N218" s="272">
        <v>14075.172</v>
      </c>
      <c r="O218" s="272">
        <v>368.73674</v>
      </c>
      <c r="P218" s="272">
        <v>1898.0374399999998</v>
      </c>
      <c r="Q218" s="272">
        <v>1752.89753</v>
      </c>
      <c r="R218" s="272">
        <v>-426.02315000000004</v>
      </c>
      <c r="S218" s="272">
        <v>22779.701719999997</v>
      </c>
      <c r="U218" s="272">
        <v>11820.608679999999</v>
      </c>
      <c r="V218" s="272">
        <v>0</v>
      </c>
      <c r="W218" s="272">
        <v>0</v>
      </c>
      <c r="X218" s="272">
        <v>10959.09304</v>
      </c>
      <c r="Y218" s="272">
        <v>-46.875480000000003</v>
      </c>
      <c r="Z218" s="272">
        <v>0</v>
      </c>
      <c r="AA218" s="272">
        <v>-84</v>
      </c>
      <c r="AB218" s="272">
        <v>11089.96852</v>
      </c>
      <c r="AD218" s="272">
        <v>122843.81782</v>
      </c>
      <c r="AE218" s="157">
        <v>24186.713329999999</v>
      </c>
      <c r="AF218" s="184">
        <v>1407.01161</v>
      </c>
      <c r="AG218" s="272">
        <v>-29500.533329999998</v>
      </c>
      <c r="AH218" s="272">
        <v>898.44362999999998</v>
      </c>
      <c r="AI218" s="184">
        <v>4550.2625699999999</v>
      </c>
      <c r="AJ218" s="272">
        <v>23348.32864</v>
      </c>
      <c r="AL218" s="272">
        <v>69208.436000000002</v>
      </c>
      <c r="AM218" s="184">
        <v>-10.061110000000001</v>
      </c>
      <c r="AN218" s="272">
        <v>11715.093999999999</v>
      </c>
      <c r="AO218" s="343">
        <v>28643</v>
      </c>
      <c r="AP218" s="332">
        <v>7.9</v>
      </c>
      <c r="AQ218" s="448"/>
      <c r="AS218" s="455">
        <v>32314.47264</v>
      </c>
      <c r="AT218" s="272">
        <v>99753.826050000003</v>
      </c>
      <c r="AU218" s="450"/>
      <c r="AV218" s="334">
        <v>53669.911549999997</v>
      </c>
      <c r="AW218" s="334">
        <v>11637.42056</v>
      </c>
      <c r="AX218" s="334">
        <v>9751.225910000001</v>
      </c>
      <c r="AY218" s="334">
        <v>75058.558019999997</v>
      </c>
      <c r="AZ218" s="334">
        <v>8273.4750000000004</v>
      </c>
      <c r="BA218" s="272">
        <v>705.70577000000003</v>
      </c>
      <c r="BB218" s="333">
        <v>2542.6155299999996</v>
      </c>
      <c r="BC218" s="272">
        <v>1871.6051699999998</v>
      </c>
      <c r="BD218" s="272">
        <v>-28.79777</v>
      </c>
      <c r="BE218" s="334">
        <v>16425.89213</v>
      </c>
      <c r="BG218" s="331">
        <v>12917.439789999999</v>
      </c>
      <c r="BH218" s="331">
        <v>0</v>
      </c>
      <c r="BI218" s="331">
        <v>0</v>
      </c>
      <c r="BJ218" s="334">
        <v>3508.4523399999998</v>
      </c>
      <c r="BK218" s="331">
        <v>-46.875480000000003</v>
      </c>
      <c r="BL218" s="331">
        <v>3500</v>
      </c>
      <c r="BM218" s="331">
        <v>-77.5</v>
      </c>
      <c r="BN218" s="334">
        <v>132.82782</v>
      </c>
      <c r="BP218" s="334">
        <v>122976.64572</v>
      </c>
      <c r="BQ218" s="311">
        <v>15819.66223</v>
      </c>
      <c r="BR218" s="272">
        <v>-606.22990000000004</v>
      </c>
      <c r="BS218" s="461">
        <v>-25184.932290000001</v>
      </c>
      <c r="BT218" s="272">
        <v>467.81128000000001</v>
      </c>
      <c r="BU218" s="272">
        <v>927.78236000000004</v>
      </c>
      <c r="BV218" s="333">
        <v>21726.772359999999</v>
      </c>
      <c r="BX218" s="272">
        <v>78775.788</v>
      </c>
      <c r="BY218" s="469">
        <v>-2000</v>
      </c>
      <c r="BZ218" s="469">
        <v>9567.3520000000008</v>
      </c>
      <c r="CA218" s="552"/>
      <c r="CB218" s="335">
        <v>7.9</v>
      </c>
      <c r="CC218" s="471">
        <f t="shared" si="3"/>
        <v>7.9</v>
      </c>
      <c r="CD218" s="558"/>
      <c r="CE218" s="272"/>
      <c r="CF218" s="262"/>
      <c r="CI218" s="158">
        <v>0</v>
      </c>
      <c r="CJ218" s="331">
        <v>11652.569874026087</v>
      </c>
      <c r="CK218" s="331">
        <v>12103.905634206199</v>
      </c>
      <c r="CL218" s="331">
        <v>10887.34985015834</v>
      </c>
      <c r="CM218" s="472">
        <v>11257.469915504502</v>
      </c>
      <c r="CN218" s="472">
        <v>10546.546057296393</v>
      </c>
      <c r="CO218" s="480">
        <v>1832.4469999999999</v>
      </c>
      <c r="CP218" s="557"/>
      <c r="CQ218" s="474">
        <v>640.98163999999997</v>
      </c>
      <c r="CR218" s="474">
        <v>469.71934000000005</v>
      </c>
    </row>
    <row r="219" spans="1:96" x14ac:dyDescent="0.2">
      <c r="A219" s="154">
        <v>697</v>
      </c>
      <c r="B219" s="156" t="s">
        <v>244</v>
      </c>
      <c r="C219" s="325">
        <v>1164</v>
      </c>
      <c r="D219" s="270">
        <v>9.36</v>
      </c>
      <c r="E219" s="185"/>
      <c r="G219" s="272">
        <v>965.05153000000007</v>
      </c>
      <c r="H219" s="272">
        <v>4539.2489699999996</v>
      </c>
      <c r="I219" s="272"/>
      <c r="J219" s="272">
        <v>1954.54357</v>
      </c>
      <c r="K219" s="272">
        <v>423.07830000000001</v>
      </c>
      <c r="L219" s="272">
        <v>897.41485999999998</v>
      </c>
      <c r="M219" s="272">
        <v>3275.0367299999998</v>
      </c>
      <c r="N219" s="272">
        <v>586.47199999999998</v>
      </c>
      <c r="O219" s="272">
        <v>2.1636599999999997</v>
      </c>
      <c r="P219" s="272">
        <v>81.60087</v>
      </c>
      <c r="Q219" s="272">
        <v>26.328110000000002</v>
      </c>
      <c r="R219" s="272">
        <v>4.0906700000000003</v>
      </c>
      <c r="S219" s="272">
        <v>230.11151999999998</v>
      </c>
      <c r="U219" s="272">
        <v>298.35988000000003</v>
      </c>
      <c r="V219" s="272">
        <v>0</v>
      </c>
      <c r="W219" s="272">
        <v>0</v>
      </c>
      <c r="X219" s="272">
        <v>-68.248360000000005</v>
      </c>
      <c r="Y219" s="272">
        <v>-14.32128</v>
      </c>
      <c r="Z219" s="272">
        <v>0</v>
      </c>
      <c r="AA219" s="272">
        <v>0</v>
      </c>
      <c r="AB219" s="272">
        <v>-53.927080000000004</v>
      </c>
      <c r="AD219" s="272">
        <v>1609.9815300000002</v>
      </c>
      <c r="AE219" s="157">
        <v>198.30072000000001</v>
      </c>
      <c r="AF219" s="184">
        <v>-31.8108</v>
      </c>
      <c r="AG219" s="272">
        <v>-158.07973000000001</v>
      </c>
      <c r="AH219" s="272">
        <v>27</v>
      </c>
      <c r="AI219" s="184">
        <v>35</v>
      </c>
      <c r="AJ219" s="272">
        <v>1373.9282800000001</v>
      </c>
      <c r="AL219" s="272">
        <v>2525</v>
      </c>
      <c r="AM219" s="184">
        <v>34.6</v>
      </c>
      <c r="AN219" s="272">
        <v>-460</v>
      </c>
      <c r="AO219" s="343">
        <v>1163</v>
      </c>
      <c r="AP219" s="332">
        <v>9.3000000000000007</v>
      </c>
      <c r="AQ219" s="448"/>
      <c r="AS219" s="455">
        <v>803.80673999999999</v>
      </c>
      <c r="AT219" s="272">
        <v>4398.4632499999998</v>
      </c>
      <c r="AU219" s="450"/>
      <c r="AV219" s="334">
        <v>2006.5357099999999</v>
      </c>
      <c r="AW219" s="334">
        <v>344.91971000000001</v>
      </c>
      <c r="AX219" s="334">
        <v>913.53700000000003</v>
      </c>
      <c r="AY219" s="334">
        <v>3264.99242</v>
      </c>
      <c r="AZ219" s="334">
        <v>804.97725000000003</v>
      </c>
      <c r="BA219" s="272">
        <v>1.9676600000000002</v>
      </c>
      <c r="BB219" s="333">
        <v>76.930360000000007</v>
      </c>
      <c r="BC219" s="272">
        <v>9.1974599999999995</v>
      </c>
      <c r="BD219" s="272">
        <v>5.9772100000000004</v>
      </c>
      <c r="BE219" s="334">
        <v>403.57071000000002</v>
      </c>
      <c r="BG219" s="331">
        <v>285.36453999999998</v>
      </c>
      <c r="BH219" s="331">
        <v>0</v>
      </c>
      <c r="BI219" s="331">
        <v>0</v>
      </c>
      <c r="BJ219" s="334">
        <v>118.20617</v>
      </c>
      <c r="BK219" s="334">
        <v>-14.32128</v>
      </c>
      <c r="BL219" s="334">
        <v>0</v>
      </c>
      <c r="BM219" s="331">
        <v>0</v>
      </c>
      <c r="BN219" s="334">
        <v>132.52745000000002</v>
      </c>
      <c r="BP219" s="334">
        <v>1742.5089800000001</v>
      </c>
      <c r="BQ219" s="311">
        <v>384.91068999999999</v>
      </c>
      <c r="BR219" s="272">
        <v>-18.660019999999999</v>
      </c>
      <c r="BS219" s="461">
        <v>-97.214579999999998</v>
      </c>
      <c r="BT219" s="272">
        <v>19.305</v>
      </c>
      <c r="BU219" s="272">
        <v>30.254999999999999</v>
      </c>
      <c r="BV219" s="333">
        <v>1636.4350300000001</v>
      </c>
      <c r="BX219" s="272">
        <v>2540</v>
      </c>
      <c r="BY219" s="469">
        <v>19.600000000000001</v>
      </c>
      <c r="BZ219" s="469">
        <v>15</v>
      </c>
      <c r="CA219" s="552"/>
      <c r="CB219" s="335">
        <v>9.3000000000000007</v>
      </c>
      <c r="CC219" s="471">
        <f t="shared" si="3"/>
        <v>9.3000000000000007</v>
      </c>
      <c r="CD219" s="558"/>
      <c r="CE219" s="272"/>
      <c r="CF219" s="262"/>
      <c r="CI219" s="158">
        <v>0</v>
      </c>
      <c r="CJ219" s="331">
        <v>886.92871495055147</v>
      </c>
      <c r="CK219" s="331">
        <v>949.05383858876553</v>
      </c>
      <c r="CL219" s="331">
        <v>1026.0456102218373</v>
      </c>
      <c r="CM219" s="472">
        <v>1093.7963190753367</v>
      </c>
      <c r="CN219" s="472">
        <v>1191.0570197053692</v>
      </c>
      <c r="CO219" s="480">
        <v>-197.982</v>
      </c>
      <c r="CP219" s="557"/>
      <c r="CQ219" s="474">
        <v>0</v>
      </c>
      <c r="CR219" s="474">
        <v>0</v>
      </c>
    </row>
    <row r="220" spans="1:96" x14ac:dyDescent="0.2">
      <c r="A220" s="154">
        <v>698</v>
      </c>
      <c r="B220" s="156" t="s">
        <v>245</v>
      </c>
      <c r="C220" s="325">
        <v>65286</v>
      </c>
      <c r="D220" s="270">
        <v>8.86</v>
      </c>
      <c r="E220" s="185"/>
      <c r="G220" s="272">
        <v>42921.263789999997</v>
      </c>
      <c r="H220" s="272">
        <v>213630.30138999998</v>
      </c>
      <c r="I220" s="272"/>
      <c r="J220" s="272">
        <v>130085.19615999999</v>
      </c>
      <c r="K220" s="272">
        <v>13357.576929999999</v>
      </c>
      <c r="L220" s="272">
        <v>35084.67828</v>
      </c>
      <c r="M220" s="272">
        <v>178527.45137</v>
      </c>
      <c r="N220" s="272">
        <v>18718.781999999999</v>
      </c>
      <c r="O220" s="272">
        <v>8282.557139999999</v>
      </c>
      <c r="P220" s="272">
        <v>3004.2322400000003</v>
      </c>
      <c r="Q220" s="272">
        <v>13284.7631</v>
      </c>
      <c r="R220" s="272">
        <v>48.160299999999999</v>
      </c>
      <c r="S220" s="272">
        <v>45196.830609999997</v>
      </c>
      <c r="U220" s="272">
        <v>20223.037270000001</v>
      </c>
      <c r="V220" s="272">
        <v>0</v>
      </c>
      <c r="W220" s="272">
        <v>0</v>
      </c>
      <c r="X220" s="272">
        <v>24973.79334</v>
      </c>
      <c r="Y220" s="272">
        <v>-312.87584000000004</v>
      </c>
      <c r="Z220" s="272">
        <v>17000</v>
      </c>
      <c r="AA220" s="272">
        <v>-1000</v>
      </c>
      <c r="AB220" s="272">
        <v>9286.669179999999</v>
      </c>
      <c r="AD220" s="272">
        <v>45343.763460000002</v>
      </c>
      <c r="AE220" s="157">
        <v>41431.347099999999</v>
      </c>
      <c r="AF220" s="184">
        <v>-3765.4835099999996</v>
      </c>
      <c r="AG220" s="272">
        <v>-30172.90192</v>
      </c>
      <c r="AH220" s="272">
        <v>140.8075</v>
      </c>
      <c r="AI220" s="184">
        <v>3969.2504599999997</v>
      </c>
      <c r="AJ220" s="272">
        <v>65327.388639999997</v>
      </c>
      <c r="AL220" s="272">
        <v>275091.40746999998</v>
      </c>
      <c r="AM220" s="184">
        <v>-486.70817999999997</v>
      </c>
      <c r="AN220" s="272">
        <v>-9946.0900399999991</v>
      </c>
      <c r="AO220" s="343">
        <v>65722</v>
      </c>
      <c r="AP220" s="332">
        <v>8.9</v>
      </c>
      <c r="AQ220" s="448"/>
      <c r="AS220" s="455">
        <v>41943.596890000001</v>
      </c>
      <c r="AT220" s="272">
        <v>211478.90563999998</v>
      </c>
      <c r="AU220" s="450"/>
      <c r="AV220" s="334">
        <v>130123.51532999999</v>
      </c>
      <c r="AW220" s="334">
        <v>10709.7189</v>
      </c>
      <c r="AX220" s="334">
        <v>36265.068020000006</v>
      </c>
      <c r="AY220" s="334">
        <v>177098.30225000001</v>
      </c>
      <c r="AZ220" s="334">
        <v>13726.493</v>
      </c>
      <c r="BA220" s="272">
        <v>9879.4301300000006</v>
      </c>
      <c r="BB220" s="333">
        <v>4794.98387</v>
      </c>
      <c r="BC220" s="272">
        <v>8927.3914600000007</v>
      </c>
      <c r="BD220" s="272">
        <v>109.18428</v>
      </c>
      <c r="BE220" s="334">
        <v>35304.53587</v>
      </c>
      <c r="BG220" s="331">
        <v>24543.779309999998</v>
      </c>
      <c r="BH220" s="334">
        <v>0</v>
      </c>
      <c r="BI220" s="334">
        <v>0</v>
      </c>
      <c r="BJ220" s="334">
        <v>10760.75656</v>
      </c>
      <c r="BK220" s="334">
        <v>-312.87576000000001</v>
      </c>
      <c r="BL220" s="331">
        <v>0</v>
      </c>
      <c r="BM220" s="331">
        <v>0</v>
      </c>
      <c r="BN220" s="334">
        <v>11073.632320000001</v>
      </c>
      <c r="BP220" s="334">
        <v>56730.005640000003</v>
      </c>
      <c r="BQ220" s="311">
        <v>30221.67541</v>
      </c>
      <c r="BR220" s="272">
        <v>-5082.8604599999999</v>
      </c>
      <c r="BS220" s="461">
        <v>-63164.876259999997</v>
      </c>
      <c r="BT220" s="272">
        <v>1556.01566</v>
      </c>
      <c r="BU220" s="272">
        <v>6661.3779299999997</v>
      </c>
      <c r="BV220" s="333">
        <v>112811.02578</v>
      </c>
      <c r="BX220" s="272">
        <v>344324.48268999998</v>
      </c>
      <c r="BY220" s="469">
        <v>-6590.8961200000003</v>
      </c>
      <c r="BZ220" s="469">
        <v>69233.075219999999</v>
      </c>
      <c r="CA220" s="552"/>
      <c r="CB220" s="335">
        <v>8.9</v>
      </c>
      <c r="CC220" s="471">
        <f t="shared" si="3"/>
        <v>8.9</v>
      </c>
      <c r="CD220" s="558"/>
      <c r="CE220" s="272"/>
      <c r="CF220" s="262"/>
      <c r="CI220" s="158">
        <v>0</v>
      </c>
      <c r="CJ220" s="331">
        <v>21578.626525780957</v>
      </c>
      <c r="CK220" s="331">
        <v>23921.361254022486</v>
      </c>
      <c r="CL220" s="331">
        <v>24323.081848262482</v>
      </c>
      <c r="CM220" s="472">
        <v>29057.840160998196</v>
      </c>
      <c r="CN220" s="472">
        <v>29758.718624286179</v>
      </c>
      <c r="CO220" s="480">
        <v>-1201.3910000000001</v>
      </c>
      <c r="CP220" s="557"/>
      <c r="CQ220" s="474">
        <v>144.70714000000001</v>
      </c>
      <c r="CR220" s="474">
        <v>112.39592999999999</v>
      </c>
    </row>
    <row r="221" spans="1:96" x14ac:dyDescent="0.2">
      <c r="A221" s="154">
        <v>700</v>
      </c>
      <c r="B221" s="156" t="s">
        <v>246</v>
      </c>
      <c r="C221" s="325">
        <v>4758</v>
      </c>
      <c r="D221" s="270">
        <v>7.86</v>
      </c>
      <c r="E221" s="185"/>
      <c r="G221" s="272">
        <v>5043.8248800000001</v>
      </c>
      <c r="H221" s="272">
        <v>15471.95262</v>
      </c>
      <c r="I221" s="272"/>
      <c r="J221" s="272">
        <v>8488.9791300000015</v>
      </c>
      <c r="K221" s="272">
        <v>1465.1403799999998</v>
      </c>
      <c r="L221" s="272">
        <v>1955.53574</v>
      </c>
      <c r="M221" s="272">
        <v>11909.65525</v>
      </c>
      <c r="N221" s="272">
        <v>932.95</v>
      </c>
      <c r="O221" s="272">
        <v>191.90576999999999</v>
      </c>
      <c r="P221" s="272">
        <v>408.17483000000004</v>
      </c>
      <c r="Q221" s="272">
        <v>18.609310000000001</v>
      </c>
      <c r="R221" s="272">
        <v>3.5447700000000002</v>
      </c>
      <c r="S221" s="272">
        <v>2213.2729900000004</v>
      </c>
      <c r="U221" s="272">
        <v>3799.3865499999997</v>
      </c>
      <c r="V221" s="272">
        <v>0</v>
      </c>
      <c r="W221" s="272">
        <v>0</v>
      </c>
      <c r="X221" s="272">
        <v>-1586.11356</v>
      </c>
      <c r="Y221" s="272">
        <v>-108.33202</v>
      </c>
      <c r="Z221" s="272">
        <v>0</v>
      </c>
      <c r="AA221" s="272">
        <v>0</v>
      </c>
      <c r="AB221" s="272">
        <v>-1477.7815399999999</v>
      </c>
      <c r="AD221" s="272">
        <v>10717.339190000001</v>
      </c>
      <c r="AE221" s="157">
        <v>2213.5039900000002</v>
      </c>
      <c r="AF221" s="184">
        <v>0</v>
      </c>
      <c r="AG221" s="272">
        <v>-1459.67156</v>
      </c>
      <c r="AH221" s="272">
        <v>0</v>
      </c>
      <c r="AI221" s="184">
        <v>2.8688099999999999</v>
      </c>
      <c r="AJ221" s="272">
        <v>2858.5938599999999</v>
      </c>
      <c r="AL221" s="272">
        <v>10956.5218</v>
      </c>
      <c r="AM221" s="184">
        <v>0</v>
      </c>
      <c r="AN221" s="272">
        <v>-608.69564000000003</v>
      </c>
      <c r="AO221" s="343">
        <v>4733</v>
      </c>
      <c r="AP221" s="332">
        <v>8.6</v>
      </c>
      <c r="AQ221" s="448"/>
      <c r="AS221" s="455">
        <v>4885.8332799999998</v>
      </c>
      <c r="AT221" s="272">
        <v>15306.32015</v>
      </c>
      <c r="AU221" s="450"/>
      <c r="AV221" s="334">
        <v>8855.6014299999988</v>
      </c>
      <c r="AW221" s="334">
        <v>1290.7749199999998</v>
      </c>
      <c r="AX221" s="334">
        <v>2177.2922599999997</v>
      </c>
      <c r="AY221" s="334">
        <v>12323.668609999999</v>
      </c>
      <c r="AZ221" s="334">
        <v>937.72043000000008</v>
      </c>
      <c r="BA221" s="272">
        <v>270.90683000000001</v>
      </c>
      <c r="BB221" s="333">
        <v>447.58463</v>
      </c>
      <c r="BC221" s="272">
        <v>70.543720000000008</v>
      </c>
      <c r="BD221" s="272">
        <v>9.0227700000000013</v>
      </c>
      <c r="BE221" s="334">
        <v>2725.74532</v>
      </c>
      <c r="BG221" s="331">
        <v>1772.1229099999998</v>
      </c>
      <c r="BH221" s="331">
        <v>0</v>
      </c>
      <c r="BI221" s="331">
        <v>0</v>
      </c>
      <c r="BJ221" s="334">
        <v>953.62241000000006</v>
      </c>
      <c r="BK221" s="334">
        <v>-108.33202</v>
      </c>
      <c r="BL221" s="334">
        <v>0</v>
      </c>
      <c r="BM221" s="331">
        <v>0</v>
      </c>
      <c r="BN221" s="334">
        <v>1061.95443</v>
      </c>
      <c r="BP221" s="334">
        <v>11779.293619999999</v>
      </c>
      <c r="BQ221" s="311">
        <v>2717.7313799999997</v>
      </c>
      <c r="BR221" s="272">
        <v>-8.0139399999999998</v>
      </c>
      <c r="BS221" s="461">
        <v>-3134.0197699999999</v>
      </c>
      <c r="BT221" s="272">
        <v>64.179559999999995</v>
      </c>
      <c r="BU221" s="272">
        <v>15</v>
      </c>
      <c r="BV221" s="333">
        <v>2153.9483100000002</v>
      </c>
      <c r="BX221" s="272">
        <v>10347.826160000001</v>
      </c>
      <c r="BY221" s="469">
        <v>8.3830599999999986</v>
      </c>
      <c r="BZ221" s="469">
        <v>-608.69564000000003</v>
      </c>
      <c r="CA221" s="552"/>
      <c r="CB221" s="335">
        <v>8.6</v>
      </c>
      <c r="CC221" s="471">
        <f t="shared" si="3"/>
        <v>8.6</v>
      </c>
      <c r="CD221" s="558"/>
      <c r="CE221" s="272"/>
      <c r="CF221" s="262"/>
      <c r="CI221" s="158">
        <v>0</v>
      </c>
      <c r="CJ221" s="331">
        <v>1632.719220778336</v>
      </c>
      <c r="CK221" s="331">
        <v>1264.7834906299768</v>
      </c>
      <c r="CL221" s="331">
        <v>1093.1520538365899</v>
      </c>
      <c r="CM221" s="472">
        <v>1147.8331834747682</v>
      </c>
      <c r="CN221" s="472">
        <v>1109.6717076540886</v>
      </c>
      <c r="CO221" s="480">
        <v>-1009.0650000000001</v>
      </c>
      <c r="CP221" s="557"/>
      <c r="CQ221" s="474">
        <v>0</v>
      </c>
      <c r="CR221" s="474">
        <v>0</v>
      </c>
    </row>
    <row r="222" spans="1:96" x14ac:dyDescent="0.2">
      <c r="A222" s="154">
        <v>702</v>
      </c>
      <c r="B222" s="156" t="s">
        <v>247</v>
      </c>
      <c r="C222" s="325">
        <v>4124</v>
      </c>
      <c r="D222" s="270">
        <v>9.36</v>
      </c>
      <c r="E222" s="185"/>
      <c r="G222" s="272">
        <v>3728.3176800000001</v>
      </c>
      <c r="H222" s="272">
        <v>14122.187029999999</v>
      </c>
      <c r="I222" s="272"/>
      <c r="J222" s="272">
        <v>6805.79565</v>
      </c>
      <c r="K222" s="272">
        <v>1563.10673</v>
      </c>
      <c r="L222" s="272">
        <v>2006.7965300000001</v>
      </c>
      <c r="M222" s="272">
        <v>10375.698910000001</v>
      </c>
      <c r="N222" s="272">
        <v>1881.271</v>
      </c>
      <c r="O222" s="272">
        <v>38.383720000000004</v>
      </c>
      <c r="P222" s="272">
        <v>239.34941000000001</v>
      </c>
      <c r="Q222" s="272">
        <v>82.030179999999987</v>
      </c>
      <c r="R222" s="272">
        <v>13.06549</v>
      </c>
      <c r="S222" s="272">
        <v>1731.0995600000001</v>
      </c>
      <c r="U222" s="272">
        <v>1331.20712</v>
      </c>
      <c r="V222" s="272">
        <v>0</v>
      </c>
      <c r="W222" s="272">
        <v>0</v>
      </c>
      <c r="X222" s="272">
        <v>399.89244000000002</v>
      </c>
      <c r="Y222" s="272">
        <v>-31.079830000000001</v>
      </c>
      <c r="Z222" s="272">
        <v>320</v>
      </c>
      <c r="AA222" s="272">
        <v>0</v>
      </c>
      <c r="AB222" s="272">
        <v>110.97227000000001</v>
      </c>
      <c r="AD222" s="272">
        <v>4262.3901699999997</v>
      </c>
      <c r="AE222" s="157">
        <v>1731.0995600000001</v>
      </c>
      <c r="AF222" s="184">
        <v>0</v>
      </c>
      <c r="AG222" s="272">
        <v>-1011.69052</v>
      </c>
      <c r="AH222" s="272">
        <v>0</v>
      </c>
      <c r="AI222" s="184">
        <v>0</v>
      </c>
      <c r="AJ222" s="272">
        <v>3923.33898</v>
      </c>
      <c r="AL222" s="272">
        <v>7063.2069499999998</v>
      </c>
      <c r="AM222" s="184">
        <v>74.08793</v>
      </c>
      <c r="AN222" s="272">
        <v>-93.890699999999995</v>
      </c>
      <c r="AO222" s="343">
        <v>4039</v>
      </c>
      <c r="AP222" s="332">
        <v>9.4</v>
      </c>
      <c r="AQ222" s="448"/>
      <c r="AS222" s="455">
        <v>3475.0498199999997</v>
      </c>
      <c r="AT222" s="272">
        <v>13963.879060000001</v>
      </c>
      <c r="AU222" s="450"/>
      <c r="AV222" s="334">
        <v>7233.7313300000005</v>
      </c>
      <c r="AW222" s="334">
        <v>1349.09275</v>
      </c>
      <c r="AX222" s="334">
        <v>2121.8136199999999</v>
      </c>
      <c r="AY222" s="334">
        <v>10704.637699999999</v>
      </c>
      <c r="AZ222" s="334">
        <v>1871.2885700000002</v>
      </c>
      <c r="BA222" s="272">
        <v>130.36584999999999</v>
      </c>
      <c r="BB222" s="333">
        <v>123.20788</v>
      </c>
      <c r="BC222" s="272">
        <v>71.70338000000001</v>
      </c>
      <c r="BD222" s="272">
        <v>366.88254999999998</v>
      </c>
      <c r="BE222" s="334">
        <v>1799.07583</v>
      </c>
      <c r="BG222" s="331">
        <v>1370.7172599999999</v>
      </c>
      <c r="BH222" s="331">
        <v>0</v>
      </c>
      <c r="BI222" s="331">
        <v>0</v>
      </c>
      <c r="BJ222" s="334">
        <v>428.35856999999999</v>
      </c>
      <c r="BK222" s="334">
        <v>-32.617400000000004</v>
      </c>
      <c r="BL222" s="331">
        <v>0</v>
      </c>
      <c r="BM222" s="331">
        <v>0</v>
      </c>
      <c r="BN222" s="334">
        <v>460.97596999999996</v>
      </c>
      <c r="BP222" s="334">
        <v>4845.4977900000004</v>
      </c>
      <c r="BQ222" s="311">
        <v>1799.07583</v>
      </c>
      <c r="BR222" s="272">
        <v>0</v>
      </c>
      <c r="BS222" s="461">
        <v>-702.74294999999995</v>
      </c>
      <c r="BT222" s="272">
        <v>0</v>
      </c>
      <c r="BU222" s="272">
        <v>0</v>
      </c>
      <c r="BV222" s="333">
        <v>1886.86544</v>
      </c>
      <c r="BX222" s="272">
        <v>4655.5494500000004</v>
      </c>
      <c r="BY222" s="469">
        <v>-69.861429999999999</v>
      </c>
      <c r="BZ222" s="469">
        <v>-2407.6574999999998</v>
      </c>
      <c r="CA222" s="552"/>
      <c r="CB222" s="335">
        <v>9.4</v>
      </c>
      <c r="CC222" s="471">
        <f t="shared" si="3"/>
        <v>9.4</v>
      </c>
      <c r="CD222" s="558"/>
      <c r="CE222" s="272"/>
      <c r="CF222" s="262"/>
      <c r="CG222" s="260"/>
      <c r="CI222" s="158">
        <v>500</v>
      </c>
      <c r="CJ222" s="331">
        <v>2401.2155028950338</v>
      </c>
      <c r="CK222" s="331">
        <v>2424.7616731298576</v>
      </c>
      <c r="CL222" s="331">
        <v>2181.0576661303894</v>
      </c>
      <c r="CM222" s="472">
        <v>2548.0897239924129</v>
      </c>
      <c r="CN222" s="472">
        <v>2643.4684327519649</v>
      </c>
      <c r="CO222" s="480">
        <v>-831.82100000000003</v>
      </c>
      <c r="CP222" s="557"/>
      <c r="CQ222" s="474">
        <v>0</v>
      </c>
      <c r="CR222" s="474">
        <v>0</v>
      </c>
    </row>
    <row r="223" spans="1:96" x14ac:dyDescent="0.2">
      <c r="A223" s="154">
        <v>704</v>
      </c>
      <c r="B223" s="156" t="s">
        <v>248</v>
      </c>
      <c r="C223" s="325">
        <v>6436</v>
      </c>
      <c r="D223" s="270">
        <v>7.1100000000000012</v>
      </c>
      <c r="E223" s="185"/>
      <c r="G223" s="272">
        <v>3966.9737700000001</v>
      </c>
      <c r="H223" s="272">
        <v>20811.173220000001</v>
      </c>
      <c r="I223" s="272"/>
      <c r="J223" s="272">
        <v>11718.852650000001</v>
      </c>
      <c r="K223" s="272">
        <v>1013.12126</v>
      </c>
      <c r="L223" s="272">
        <v>1300.1113700000001</v>
      </c>
      <c r="M223" s="272">
        <v>14032.085279999999</v>
      </c>
      <c r="N223" s="272">
        <v>5317.8810000000003</v>
      </c>
      <c r="O223" s="272">
        <v>1.5088499999999998</v>
      </c>
      <c r="P223" s="272">
        <v>249.09164999999999</v>
      </c>
      <c r="Q223" s="272">
        <v>48.41581</v>
      </c>
      <c r="R223" s="272">
        <v>2.0232600000000001</v>
      </c>
      <c r="S223" s="272">
        <v>2304.5765799999999</v>
      </c>
      <c r="U223" s="272">
        <v>2311.1386000000002</v>
      </c>
      <c r="V223" s="272">
        <v>0</v>
      </c>
      <c r="W223" s="272">
        <v>0</v>
      </c>
      <c r="X223" s="272">
        <v>-6.5620200000000004</v>
      </c>
      <c r="Y223" s="272">
        <v>-18.921340000000001</v>
      </c>
      <c r="Z223" s="272">
        <v>0</v>
      </c>
      <c r="AA223" s="272">
        <v>0</v>
      </c>
      <c r="AB223" s="272">
        <v>12.35932</v>
      </c>
      <c r="AD223" s="272">
        <v>17049.822490000002</v>
      </c>
      <c r="AE223" s="157">
        <v>2301.8994300000004</v>
      </c>
      <c r="AF223" s="184">
        <v>-2.6771500000000001</v>
      </c>
      <c r="AG223" s="272">
        <v>-2620.6871499999997</v>
      </c>
      <c r="AH223" s="272">
        <v>0</v>
      </c>
      <c r="AI223" s="184">
        <v>266.90577000000002</v>
      </c>
      <c r="AJ223" s="272">
        <v>6298.0732800000005</v>
      </c>
      <c r="AL223" s="272">
        <v>6890.8</v>
      </c>
      <c r="AM223" s="184">
        <v>0</v>
      </c>
      <c r="AN223" s="272">
        <v>-898.8</v>
      </c>
      <c r="AO223" s="343">
        <v>6418</v>
      </c>
      <c r="AP223" s="332">
        <v>7.1</v>
      </c>
      <c r="AQ223" s="448"/>
      <c r="AS223" s="455">
        <v>4405.5870599999998</v>
      </c>
      <c r="AT223" s="272">
        <v>20240.921079999996</v>
      </c>
      <c r="AU223" s="450"/>
      <c r="AV223" s="334">
        <v>11371.32667</v>
      </c>
      <c r="AW223" s="334">
        <v>768.25918999999999</v>
      </c>
      <c r="AX223" s="334">
        <v>1435.8416200000001</v>
      </c>
      <c r="AY223" s="334">
        <v>13575.42748</v>
      </c>
      <c r="AZ223" s="334">
        <v>5597.3670000000002</v>
      </c>
      <c r="BA223" s="272">
        <v>1.5088499999999998</v>
      </c>
      <c r="BB223" s="333">
        <v>251.99160999999998</v>
      </c>
      <c r="BC223" s="272">
        <v>30.720970000000001</v>
      </c>
      <c r="BD223" s="272">
        <v>0.74807000000000001</v>
      </c>
      <c r="BE223" s="334">
        <v>3116.9506000000001</v>
      </c>
      <c r="BG223" s="331">
        <v>2060.61373</v>
      </c>
      <c r="BH223" s="331">
        <v>0</v>
      </c>
      <c r="BI223" s="331">
        <v>0</v>
      </c>
      <c r="BJ223" s="334">
        <v>1056.3368700000001</v>
      </c>
      <c r="BK223" s="331">
        <v>-18.921340000000001</v>
      </c>
      <c r="BL223" s="331">
        <v>0</v>
      </c>
      <c r="BM223" s="331">
        <v>0</v>
      </c>
      <c r="BN223" s="334">
        <v>1075.25821</v>
      </c>
      <c r="BP223" s="334">
        <v>18125.080699999999</v>
      </c>
      <c r="BQ223" s="311">
        <v>2722.3577599999999</v>
      </c>
      <c r="BR223" s="272">
        <v>-394.59284000000002</v>
      </c>
      <c r="BS223" s="461">
        <v>-3904.10707</v>
      </c>
      <c r="BT223" s="272">
        <v>4.4939999999999998</v>
      </c>
      <c r="BU223" s="272">
        <v>469.24128000000002</v>
      </c>
      <c r="BV223" s="333">
        <v>4392.9432200000001</v>
      </c>
      <c r="BX223" s="272">
        <v>6037</v>
      </c>
      <c r="BY223" s="469">
        <v>7.5442</v>
      </c>
      <c r="BZ223" s="469">
        <v>-853.8</v>
      </c>
      <c r="CA223" s="552"/>
      <c r="CB223" s="335">
        <v>7.3</v>
      </c>
      <c r="CC223" s="471">
        <f t="shared" si="3"/>
        <v>7.3</v>
      </c>
      <c r="CD223" s="558"/>
      <c r="CE223" s="272"/>
      <c r="CF223" s="262"/>
      <c r="CI223" s="158">
        <v>0</v>
      </c>
      <c r="CJ223" s="331">
        <v>5416.416518393642</v>
      </c>
      <c r="CK223" s="331">
        <v>5479.623930740192</v>
      </c>
      <c r="CL223" s="331">
        <v>5538.4937108578188</v>
      </c>
      <c r="CM223" s="472">
        <v>6323.5789162552301</v>
      </c>
      <c r="CN223" s="472">
        <v>6403.2410691734822</v>
      </c>
      <c r="CO223" s="480">
        <v>-1167.76</v>
      </c>
      <c r="CP223" s="557"/>
      <c r="CQ223" s="474">
        <v>0</v>
      </c>
      <c r="CR223" s="474">
        <v>0</v>
      </c>
    </row>
    <row r="224" spans="1:96" ht="12.75" x14ac:dyDescent="0.2">
      <c r="A224" s="154">
        <v>707</v>
      </c>
      <c r="B224" s="156" t="s">
        <v>249</v>
      </c>
      <c r="C224" s="325">
        <v>1902</v>
      </c>
      <c r="D224" s="270">
        <v>8.86</v>
      </c>
      <c r="E224" s="185"/>
      <c r="G224" s="272">
        <v>1635.1068</v>
      </c>
      <c r="H224" s="272">
        <v>6024.06988</v>
      </c>
      <c r="I224" s="272"/>
      <c r="J224" s="272">
        <v>2503.7602700000002</v>
      </c>
      <c r="K224" s="272">
        <v>475.6302</v>
      </c>
      <c r="L224" s="272">
        <v>683.82366999999999</v>
      </c>
      <c r="M224" s="272">
        <v>3663.21414</v>
      </c>
      <c r="N224" s="272">
        <v>1562.8620000000001</v>
      </c>
      <c r="O224" s="272">
        <v>75.51773</v>
      </c>
      <c r="P224" s="272">
        <v>74.992929999999987</v>
      </c>
      <c r="Q224" s="272">
        <v>92.893419999999992</v>
      </c>
      <c r="R224" s="272">
        <v>0.13632</v>
      </c>
      <c r="S224" s="272">
        <v>930.39495999999997</v>
      </c>
      <c r="U224" s="272">
        <v>290.97253999999998</v>
      </c>
      <c r="V224" s="272">
        <v>0</v>
      </c>
      <c r="W224" s="272">
        <v>0</v>
      </c>
      <c r="X224" s="272">
        <v>639.42241999999999</v>
      </c>
      <c r="Y224" s="272">
        <v>0</v>
      </c>
      <c r="Z224" s="272">
        <v>0</v>
      </c>
      <c r="AA224" s="272">
        <v>0</v>
      </c>
      <c r="AB224" s="272">
        <v>639.42241999999999</v>
      </c>
      <c r="AD224" s="272">
        <v>2360.0007000000001</v>
      </c>
      <c r="AE224" s="157">
        <v>931.21987000000001</v>
      </c>
      <c r="AF224" s="184">
        <v>0.82490999999999992</v>
      </c>
      <c r="AG224" s="272">
        <v>-640.04906000000005</v>
      </c>
      <c r="AH224" s="272">
        <v>191.25200000000001</v>
      </c>
      <c r="AI224" s="184">
        <v>13.53309</v>
      </c>
      <c r="AJ224" s="272">
        <v>1005.5261899999999</v>
      </c>
      <c r="AL224" s="272">
        <v>3815.5219999999999</v>
      </c>
      <c r="AM224" s="184">
        <v>77.775030000000001</v>
      </c>
      <c r="AN224" s="272">
        <v>-1361.0440000000001</v>
      </c>
      <c r="AO224" s="343">
        <v>1881</v>
      </c>
      <c r="AP224" s="332">
        <v>8.9000000000000021</v>
      </c>
      <c r="AQ224" s="448"/>
      <c r="AS224" s="455">
        <v>2475.3381199999999</v>
      </c>
      <c r="AT224" s="272">
        <v>5940.1729999999998</v>
      </c>
      <c r="AU224" s="450"/>
      <c r="AV224" s="334">
        <v>2581.3969999999999</v>
      </c>
      <c r="AW224" s="334">
        <v>393.41659000000004</v>
      </c>
      <c r="AX224" s="334">
        <v>740.42174</v>
      </c>
      <c r="AY224" s="334">
        <v>3715.23533</v>
      </c>
      <c r="AZ224" s="334">
        <v>768.50699999999995</v>
      </c>
      <c r="BA224" s="272">
        <v>74.372219999999999</v>
      </c>
      <c r="BB224" s="333">
        <v>74.299390000000002</v>
      </c>
      <c r="BC224" s="272">
        <v>92.206310000000002</v>
      </c>
      <c r="BD224" s="272">
        <v>-6.8400000000000002E-2</v>
      </c>
      <c r="BE224" s="334">
        <v>1111.2549899999999</v>
      </c>
      <c r="BG224" s="331">
        <v>306.52440999999999</v>
      </c>
      <c r="BH224" s="331">
        <v>0</v>
      </c>
      <c r="BI224" s="331">
        <v>0</v>
      </c>
      <c r="BJ224" s="334">
        <v>804.73057999999992</v>
      </c>
      <c r="BK224" s="334">
        <v>0</v>
      </c>
      <c r="BL224" s="334">
        <v>0</v>
      </c>
      <c r="BM224" s="331">
        <v>0</v>
      </c>
      <c r="BN224" s="334">
        <v>804.73057999999992</v>
      </c>
      <c r="BP224" s="334">
        <v>3164.7312800000004</v>
      </c>
      <c r="BQ224" s="311">
        <v>-152.78282999999999</v>
      </c>
      <c r="BR224" s="272">
        <v>-1264.03782</v>
      </c>
      <c r="BS224" s="461">
        <v>-548.23919999999998</v>
      </c>
      <c r="BT224" s="272">
        <v>37.898960000000002</v>
      </c>
      <c r="BU224" s="272">
        <v>1057.6300000000001</v>
      </c>
      <c r="BV224" s="458">
        <v>1277.08852</v>
      </c>
      <c r="BX224" s="272">
        <v>3490</v>
      </c>
      <c r="BY224" s="469">
        <v>-41.563919999999996</v>
      </c>
      <c r="BZ224" s="469">
        <v>-325.52199999999999</v>
      </c>
      <c r="CA224" s="552"/>
      <c r="CB224" s="335">
        <v>9.9</v>
      </c>
      <c r="CC224" s="471">
        <f t="shared" si="3"/>
        <v>9.9</v>
      </c>
      <c r="CD224" s="558"/>
      <c r="CE224" s="272"/>
      <c r="CF224" s="262"/>
      <c r="CG224" s="260"/>
      <c r="CI224" s="158">
        <v>390</v>
      </c>
      <c r="CJ224" s="331">
        <v>1086.917679310928</v>
      </c>
      <c r="CK224" s="331">
        <v>861.41442068536821</v>
      </c>
      <c r="CL224" s="331">
        <v>960.67933030903805</v>
      </c>
      <c r="CM224" s="472">
        <v>1099.4228958667491</v>
      </c>
      <c r="CN224" s="472">
        <v>1156.187243006877</v>
      </c>
      <c r="CO224" s="480">
        <v>-547.76099999999997</v>
      </c>
      <c r="CP224" s="557"/>
      <c r="CQ224" s="474">
        <v>0</v>
      </c>
      <c r="CR224" s="474">
        <v>0</v>
      </c>
    </row>
    <row r="225" spans="1:96" x14ac:dyDescent="0.2">
      <c r="A225" s="154">
        <v>729</v>
      </c>
      <c r="B225" s="156" t="s">
        <v>250</v>
      </c>
      <c r="C225" s="325">
        <v>8847</v>
      </c>
      <c r="D225" s="270">
        <v>9.36</v>
      </c>
      <c r="E225" s="185"/>
      <c r="G225" s="272">
        <v>9660.8517200000006</v>
      </c>
      <c r="H225" s="272">
        <v>32752.137620000001</v>
      </c>
      <c r="I225" s="272"/>
      <c r="J225" s="272">
        <v>14012.284589999999</v>
      </c>
      <c r="K225" s="272">
        <v>2128.3275199999998</v>
      </c>
      <c r="L225" s="272">
        <v>3146.6698999999999</v>
      </c>
      <c r="M225" s="272">
        <v>19287.282010000003</v>
      </c>
      <c r="N225" s="272">
        <v>8781.7469999999994</v>
      </c>
      <c r="O225" s="272">
        <v>42.247250000000001</v>
      </c>
      <c r="P225" s="272">
        <v>102.91203999999999</v>
      </c>
      <c r="Q225" s="272">
        <v>34.21293</v>
      </c>
      <c r="R225" s="272">
        <v>12.809100000000001</v>
      </c>
      <c r="S225" s="272">
        <v>4938.4821500000007</v>
      </c>
      <c r="U225" s="272">
        <v>4026.5246299999999</v>
      </c>
      <c r="V225" s="272">
        <v>0</v>
      </c>
      <c r="W225" s="272">
        <v>0</v>
      </c>
      <c r="X225" s="272">
        <v>911.95752000000005</v>
      </c>
      <c r="Y225" s="272">
        <v>0</v>
      </c>
      <c r="Z225" s="272">
        <v>0</v>
      </c>
      <c r="AA225" s="272">
        <v>0</v>
      </c>
      <c r="AB225" s="272">
        <v>911.95752000000005</v>
      </c>
      <c r="AD225" s="272">
        <v>7630.6650900000004</v>
      </c>
      <c r="AE225" s="157">
        <v>3974.3133199999997</v>
      </c>
      <c r="AF225" s="184">
        <v>-964.16882999999996</v>
      </c>
      <c r="AG225" s="272">
        <v>-2200.7727999999997</v>
      </c>
      <c r="AH225" s="272">
        <v>13.4</v>
      </c>
      <c r="AI225" s="184">
        <v>2339.4814700000002</v>
      </c>
      <c r="AJ225" s="272">
        <v>3830.69985</v>
      </c>
      <c r="AL225" s="272">
        <v>2518.9795100000001</v>
      </c>
      <c r="AM225" s="184">
        <v>-29.597060000000003</v>
      </c>
      <c r="AN225" s="272">
        <v>-1217.6289299999999</v>
      </c>
      <c r="AO225" s="343">
        <v>8858</v>
      </c>
      <c r="AP225" s="332">
        <v>9.3000000000000007</v>
      </c>
      <c r="AQ225" s="448"/>
      <c r="AS225" s="455">
        <v>9657.8338699999986</v>
      </c>
      <c r="AT225" s="272">
        <v>31917.92339</v>
      </c>
      <c r="AU225" s="450"/>
      <c r="AV225" s="334">
        <v>14446.149539999999</v>
      </c>
      <c r="AW225" s="334">
        <v>1802.0828100000001</v>
      </c>
      <c r="AX225" s="334">
        <v>3555.21756</v>
      </c>
      <c r="AY225" s="334">
        <v>19803.449909999999</v>
      </c>
      <c r="AZ225" s="334">
        <v>7200.268</v>
      </c>
      <c r="BA225" s="272">
        <v>125.38755</v>
      </c>
      <c r="BB225" s="333">
        <v>73.671080000000003</v>
      </c>
      <c r="BC225" s="272">
        <v>38.479949999999995</v>
      </c>
      <c r="BD225" s="272">
        <v>0.1648</v>
      </c>
      <c r="BE225" s="334">
        <v>4833.6600099999996</v>
      </c>
      <c r="BG225" s="331">
        <v>3577.5327699999998</v>
      </c>
      <c r="BH225" s="331">
        <v>0</v>
      </c>
      <c r="BI225" s="331">
        <v>0</v>
      </c>
      <c r="BJ225" s="334">
        <v>1256.12724</v>
      </c>
      <c r="BK225" s="334">
        <v>0</v>
      </c>
      <c r="BL225" s="334">
        <v>855</v>
      </c>
      <c r="BM225" s="331">
        <v>0</v>
      </c>
      <c r="BN225" s="334">
        <v>401.12723999999997</v>
      </c>
      <c r="BP225" s="334">
        <v>8031.7923300000002</v>
      </c>
      <c r="BQ225" s="311">
        <v>4730.9571599999999</v>
      </c>
      <c r="BR225" s="272">
        <v>-102.70285000000001</v>
      </c>
      <c r="BS225" s="461">
        <v>-1891.83115</v>
      </c>
      <c r="BT225" s="272">
        <v>322.63238000000001</v>
      </c>
      <c r="BU225" s="272">
        <v>138.86335</v>
      </c>
      <c r="BV225" s="333">
        <v>5298.6443799999997</v>
      </c>
      <c r="BX225" s="272">
        <v>1540.99235</v>
      </c>
      <c r="BY225" s="469">
        <v>-4.8470500000000003</v>
      </c>
      <c r="BZ225" s="469">
        <v>-977.98716000000002</v>
      </c>
      <c r="CA225" s="552"/>
      <c r="CB225" s="335">
        <v>9.3000000000000007</v>
      </c>
      <c r="CC225" s="471">
        <f t="shared" si="3"/>
        <v>9.3000000000000007</v>
      </c>
      <c r="CD225" s="558"/>
      <c r="CE225" s="272"/>
      <c r="CF225" s="262"/>
      <c r="CI225" s="158">
        <v>0</v>
      </c>
      <c r="CJ225" s="331">
        <v>8822.1865726717369</v>
      </c>
      <c r="CK225" s="331">
        <v>8497.0189905057232</v>
      </c>
      <c r="CL225" s="331">
        <v>9147.3671736022952</v>
      </c>
      <c r="CM225" s="472">
        <v>9402.2473210570279</v>
      </c>
      <c r="CN225" s="472">
        <v>9703.8364386535632</v>
      </c>
      <c r="CO225" s="480">
        <v>969.44399999999996</v>
      </c>
      <c r="CP225" s="557"/>
      <c r="CQ225" s="474">
        <v>0</v>
      </c>
      <c r="CR225" s="474">
        <v>0</v>
      </c>
    </row>
    <row r="226" spans="1:96" x14ac:dyDescent="0.2">
      <c r="A226" s="154">
        <v>732</v>
      </c>
      <c r="B226" s="156" t="s">
        <v>251</v>
      </c>
      <c r="C226" s="325">
        <v>3344</v>
      </c>
      <c r="D226" s="270">
        <v>7.61</v>
      </c>
      <c r="E226" s="185"/>
      <c r="G226" s="272">
        <v>4129.5086300000003</v>
      </c>
      <c r="H226" s="272">
        <v>14343.62724</v>
      </c>
      <c r="I226" s="272"/>
      <c r="J226" s="272">
        <v>4543.8080300000001</v>
      </c>
      <c r="K226" s="272">
        <v>1016.5881400000001</v>
      </c>
      <c r="L226" s="272">
        <v>1304.4806599999999</v>
      </c>
      <c r="M226" s="272">
        <v>6864.8768300000002</v>
      </c>
      <c r="N226" s="272">
        <v>4793.1540000000005</v>
      </c>
      <c r="O226" s="272">
        <v>53.623370000000001</v>
      </c>
      <c r="P226" s="272">
        <v>266.11075</v>
      </c>
      <c r="Q226" s="272">
        <v>24.054680000000001</v>
      </c>
      <c r="R226" s="272">
        <v>4.9853399999999999</v>
      </c>
      <c r="S226" s="272">
        <v>1250.4941799999999</v>
      </c>
      <c r="U226" s="272">
        <v>1537.068</v>
      </c>
      <c r="V226" s="272">
        <v>0</v>
      </c>
      <c r="W226" s="272">
        <v>0</v>
      </c>
      <c r="X226" s="272">
        <v>-286.57382000000001</v>
      </c>
      <c r="Y226" s="272">
        <v>0</v>
      </c>
      <c r="Z226" s="272">
        <v>0</v>
      </c>
      <c r="AA226" s="272">
        <v>0</v>
      </c>
      <c r="AB226" s="272">
        <v>-286.57382000000001</v>
      </c>
      <c r="AD226" s="272">
        <v>13042.5808</v>
      </c>
      <c r="AE226" s="157">
        <v>1155.4941799999999</v>
      </c>
      <c r="AF226" s="184">
        <v>-95</v>
      </c>
      <c r="AG226" s="272">
        <v>-2622.3678799999998</v>
      </c>
      <c r="AH226" s="272">
        <v>36.366</v>
      </c>
      <c r="AI226" s="184">
        <v>95</v>
      </c>
      <c r="AJ226" s="272">
        <v>1528.90453</v>
      </c>
      <c r="AL226" s="272">
        <v>13320.452960000001</v>
      </c>
      <c r="AM226" s="184">
        <v>152.44220000000001</v>
      </c>
      <c r="AN226" s="272">
        <v>1309.2753700000001</v>
      </c>
      <c r="AO226" s="343">
        <v>3285</v>
      </c>
      <c r="AP226" s="332">
        <v>8.6</v>
      </c>
      <c r="AQ226" s="448"/>
      <c r="AS226" s="455">
        <v>3933.4217100000001</v>
      </c>
      <c r="AT226" s="272">
        <v>14208.327009999999</v>
      </c>
      <c r="AU226" s="450"/>
      <c r="AV226" s="334">
        <v>5231.90416</v>
      </c>
      <c r="AW226" s="334">
        <v>827.19249000000002</v>
      </c>
      <c r="AX226" s="334">
        <v>1387.2897700000001</v>
      </c>
      <c r="AY226" s="334">
        <v>7446.3864199999998</v>
      </c>
      <c r="AZ226" s="334">
        <v>4589.0219999999999</v>
      </c>
      <c r="BA226" s="272">
        <v>60.768260000000005</v>
      </c>
      <c r="BB226" s="333">
        <v>394.11169999999998</v>
      </c>
      <c r="BC226" s="272">
        <v>30.42474</v>
      </c>
      <c r="BD226" s="272">
        <v>3.5440100000000001</v>
      </c>
      <c r="BE226" s="334">
        <v>1454.0404099999998</v>
      </c>
      <c r="BG226" s="331">
        <v>1638.45307</v>
      </c>
      <c r="BH226" s="331">
        <v>0</v>
      </c>
      <c r="BI226" s="331">
        <v>0</v>
      </c>
      <c r="BJ226" s="334">
        <v>-184.41266000000002</v>
      </c>
      <c r="BK226" s="331">
        <v>0</v>
      </c>
      <c r="BL226" s="331">
        <v>0</v>
      </c>
      <c r="BM226" s="331">
        <v>0</v>
      </c>
      <c r="BN226" s="334">
        <v>-184.41266000000002</v>
      </c>
      <c r="BP226" s="334">
        <v>12847.854529999999</v>
      </c>
      <c r="BQ226" s="311">
        <v>1226.1269299999999</v>
      </c>
      <c r="BR226" s="272">
        <v>-227.91348000000002</v>
      </c>
      <c r="BS226" s="461">
        <v>-1592.46577</v>
      </c>
      <c r="BT226" s="272">
        <v>76.58202</v>
      </c>
      <c r="BU226" s="272">
        <v>245.9</v>
      </c>
      <c r="BV226" s="333">
        <v>3240.6429199999998</v>
      </c>
      <c r="BX226" s="272">
        <v>14495.39076</v>
      </c>
      <c r="BY226" s="469">
        <v>177.44220000000001</v>
      </c>
      <c r="BZ226" s="469">
        <v>1174.9378000000002</v>
      </c>
      <c r="CA226" s="552"/>
      <c r="CB226" s="335">
        <v>8.9</v>
      </c>
      <c r="CC226" s="471">
        <f t="shared" si="3"/>
        <v>8.9</v>
      </c>
      <c r="CD226" s="558"/>
      <c r="CE226" s="272"/>
      <c r="CF226" s="262"/>
      <c r="CI226" s="158">
        <v>0</v>
      </c>
      <c r="CJ226" s="331">
        <v>4901.5937356050053</v>
      </c>
      <c r="CK226" s="331">
        <v>4728.6615236972048</v>
      </c>
      <c r="CL226" s="331">
        <v>4584.4234330616182</v>
      </c>
      <c r="CM226" s="472">
        <v>5064.0131916387154</v>
      </c>
      <c r="CN226" s="472">
        <v>5393.970100516427</v>
      </c>
      <c r="CO226" s="480">
        <v>250.334</v>
      </c>
      <c r="CP226" s="557"/>
      <c r="CQ226" s="474">
        <v>0</v>
      </c>
      <c r="CR226" s="474">
        <v>0</v>
      </c>
    </row>
    <row r="227" spans="1:96" x14ac:dyDescent="0.2">
      <c r="A227" s="154">
        <v>734</v>
      </c>
      <c r="B227" s="156" t="s">
        <v>252</v>
      </c>
      <c r="C227" s="325">
        <v>51100</v>
      </c>
      <c r="D227" s="270">
        <v>8.11</v>
      </c>
      <c r="E227" s="185"/>
      <c r="G227" s="272">
        <v>37999.986790000003</v>
      </c>
      <c r="H227" s="272">
        <v>153089.58674</v>
      </c>
      <c r="I227" s="272"/>
      <c r="J227" s="272">
        <v>89138.097569999998</v>
      </c>
      <c r="K227" s="272">
        <v>13113.366300000002</v>
      </c>
      <c r="L227" s="272">
        <v>15448.53491</v>
      </c>
      <c r="M227" s="272">
        <v>117699.99877999999</v>
      </c>
      <c r="N227" s="272">
        <v>28261.679</v>
      </c>
      <c r="O227" s="272">
        <v>554.95393000000001</v>
      </c>
      <c r="P227" s="272">
        <v>1319.01747</v>
      </c>
      <c r="Q227" s="272">
        <v>2566.0146600000003</v>
      </c>
      <c r="R227" s="272">
        <v>1.77223</v>
      </c>
      <c r="S227" s="272">
        <v>32672.256719999998</v>
      </c>
      <c r="U227" s="272">
        <v>17679.541430000001</v>
      </c>
      <c r="V227" s="272">
        <v>566.06681999999989</v>
      </c>
      <c r="W227" s="272">
        <v>0</v>
      </c>
      <c r="X227" s="272">
        <v>15558.78211</v>
      </c>
      <c r="Y227" s="272">
        <v>-534.52445999999998</v>
      </c>
      <c r="Z227" s="272">
        <v>0</v>
      </c>
      <c r="AA227" s="272">
        <v>0</v>
      </c>
      <c r="AB227" s="272">
        <v>16093.306570000001</v>
      </c>
      <c r="AD227" s="272">
        <v>44525.510030000005</v>
      </c>
      <c r="AE227" s="157">
        <v>33308.573899999996</v>
      </c>
      <c r="AF227" s="184">
        <v>70.250360000000001</v>
      </c>
      <c r="AG227" s="272">
        <v>-11125.40092</v>
      </c>
      <c r="AH227" s="272">
        <v>299.36327</v>
      </c>
      <c r="AI227" s="184">
        <v>227.49787000000001</v>
      </c>
      <c r="AJ227" s="272">
        <v>9173.5794000000005</v>
      </c>
      <c r="AL227" s="272">
        <v>60474.096910000007</v>
      </c>
      <c r="AM227" s="184">
        <v>343.94310999999999</v>
      </c>
      <c r="AN227" s="272">
        <v>-29909.151899999997</v>
      </c>
      <c r="AO227" s="343">
        <v>50870</v>
      </c>
      <c r="AP227" s="332">
        <v>8.1</v>
      </c>
      <c r="AQ227" s="448"/>
      <c r="AS227" s="455">
        <v>38645.593860000001</v>
      </c>
      <c r="AT227" s="272">
        <v>158834.20684</v>
      </c>
      <c r="AU227" s="450"/>
      <c r="AV227" s="334">
        <v>89098.99268000001</v>
      </c>
      <c r="AW227" s="334">
        <v>10166.41576</v>
      </c>
      <c r="AX227" s="334">
        <v>14228.533820000001</v>
      </c>
      <c r="AY227" s="334">
        <v>113493.94226000001</v>
      </c>
      <c r="AZ227" s="334">
        <v>26212.046999999999</v>
      </c>
      <c r="BA227" s="272">
        <v>835.51963000000001</v>
      </c>
      <c r="BB227" s="333">
        <v>1515.9272100000001</v>
      </c>
      <c r="BC227" s="272">
        <v>858.48626999999999</v>
      </c>
      <c r="BD227" s="272">
        <v>18.813580000000002</v>
      </c>
      <c r="BE227" s="334">
        <v>19676.641390000001</v>
      </c>
      <c r="BG227" s="331">
        <v>16165.540230000001</v>
      </c>
      <c r="BH227" s="331">
        <v>0</v>
      </c>
      <c r="BI227" s="331">
        <v>0</v>
      </c>
      <c r="BJ227" s="334">
        <v>3511.1011600000002</v>
      </c>
      <c r="BK227" s="331">
        <v>-534.52445999999998</v>
      </c>
      <c r="BL227" s="331">
        <v>0</v>
      </c>
      <c r="BM227" s="334">
        <v>0</v>
      </c>
      <c r="BN227" s="334">
        <v>4045.6256200000003</v>
      </c>
      <c r="BP227" s="334">
        <v>48571.135649999997</v>
      </c>
      <c r="BQ227" s="311">
        <v>19077.939839999999</v>
      </c>
      <c r="BR227" s="272">
        <v>-598.70155</v>
      </c>
      <c r="BS227" s="461">
        <v>-19230.586589999999</v>
      </c>
      <c r="BT227" s="272">
        <v>20</v>
      </c>
      <c r="BU227" s="272">
        <v>1286.57482</v>
      </c>
      <c r="BV227" s="333">
        <v>9804.9622099999997</v>
      </c>
      <c r="BX227" s="272">
        <v>59056.228329999998</v>
      </c>
      <c r="BY227" s="469">
        <v>-508.827</v>
      </c>
      <c r="BZ227" s="469">
        <v>-1417.8685800000001</v>
      </c>
      <c r="CA227" s="552"/>
      <c r="CB227" s="335">
        <v>8.1</v>
      </c>
      <c r="CC227" s="471">
        <f t="shared" si="3"/>
        <v>8.1</v>
      </c>
      <c r="CD227" s="558"/>
      <c r="CE227" s="272"/>
      <c r="CF227" s="262"/>
      <c r="CG227" s="260"/>
      <c r="CI227" s="158">
        <v>0</v>
      </c>
      <c r="CJ227" s="331">
        <v>31363.6486487035</v>
      </c>
      <c r="CK227" s="331">
        <v>33730.777128773501</v>
      </c>
      <c r="CL227" s="331">
        <v>33838.633013533901</v>
      </c>
      <c r="CM227" s="472">
        <v>35590.647965426615</v>
      </c>
      <c r="CN227" s="472">
        <v>35922.6854173385</v>
      </c>
      <c r="CO227" s="480">
        <v>-270.46100000000001</v>
      </c>
      <c r="CP227" s="557"/>
      <c r="CQ227" s="474">
        <v>0</v>
      </c>
      <c r="CR227" s="474">
        <v>0</v>
      </c>
    </row>
    <row r="228" spans="1:96" x14ac:dyDescent="0.2">
      <c r="A228" s="154">
        <v>790</v>
      </c>
      <c r="B228" s="156" t="s">
        <v>353</v>
      </c>
      <c r="C228" s="325">
        <v>23515</v>
      </c>
      <c r="D228" s="270">
        <v>8.86</v>
      </c>
      <c r="E228" s="185"/>
      <c r="G228" s="272">
        <v>29759.352569999999</v>
      </c>
      <c r="H228" s="272">
        <v>82800.647239999991</v>
      </c>
      <c r="I228" s="272"/>
      <c r="J228" s="272">
        <v>40835.310299999997</v>
      </c>
      <c r="K228" s="272">
        <v>5362.01055</v>
      </c>
      <c r="L228" s="272">
        <v>6744.7506900000008</v>
      </c>
      <c r="M228" s="272">
        <v>52942.071539999997</v>
      </c>
      <c r="N228" s="272">
        <v>18412.649000000001</v>
      </c>
      <c r="O228" s="272">
        <v>32.073700000000002</v>
      </c>
      <c r="P228" s="272">
        <v>754.79717000000005</v>
      </c>
      <c r="Q228" s="272">
        <v>223.20457000000002</v>
      </c>
      <c r="R228" s="272">
        <v>2.14602</v>
      </c>
      <c r="S228" s="272">
        <v>18274.322</v>
      </c>
      <c r="U228" s="272">
        <v>8780.1629499999999</v>
      </c>
      <c r="V228" s="272">
        <v>0</v>
      </c>
      <c r="W228" s="272">
        <v>0</v>
      </c>
      <c r="X228" s="272">
        <v>9494.1590500000002</v>
      </c>
      <c r="Y228" s="272">
        <v>2324.873</v>
      </c>
      <c r="Z228" s="272">
        <v>1376.78739</v>
      </c>
      <c r="AA228" s="272">
        <v>0</v>
      </c>
      <c r="AB228" s="272">
        <v>5792.4986600000002</v>
      </c>
      <c r="AD228" s="272">
        <v>38019.525900000001</v>
      </c>
      <c r="AE228" s="157">
        <v>18111.991249999999</v>
      </c>
      <c r="AF228" s="184">
        <v>-162.33074999999999</v>
      </c>
      <c r="AG228" s="272">
        <v>-14031.94514</v>
      </c>
      <c r="AH228" s="272">
        <v>147.417</v>
      </c>
      <c r="AI228" s="184">
        <v>694.91711999999995</v>
      </c>
      <c r="AJ228" s="272">
        <v>30556.412649999998</v>
      </c>
      <c r="AL228" s="272">
        <v>52381.517599999999</v>
      </c>
      <c r="AM228" s="184">
        <v>-550.06673999999998</v>
      </c>
      <c r="AN228" s="272">
        <v>-2097.4202</v>
      </c>
      <c r="AO228" s="343">
        <v>23464</v>
      </c>
      <c r="AP228" s="332">
        <v>8.9</v>
      </c>
      <c r="AQ228" s="448"/>
      <c r="AS228" s="455">
        <v>29709.125530000001</v>
      </c>
      <c r="AT228" s="272">
        <v>83315.468709999986</v>
      </c>
      <c r="AU228" s="450"/>
      <c r="AV228" s="334">
        <v>41315.926770000005</v>
      </c>
      <c r="AW228" s="334">
        <v>4687.4162200000001</v>
      </c>
      <c r="AX228" s="334">
        <v>6994.2314500000002</v>
      </c>
      <c r="AY228" s="334">
        <v>52997.574439999997</v>
      </c>
      <c r="AZ228" s="334">
        <v>16297.105</v>
      </c>
      <c r="BA228" s="272">
        <v>399.70686000000001</v>
      </c>
      <c r="BB228" s="333">
        <v>1086.2872600000001</v>
      </c>
      <c r="BC228" s="272">
        <v>208.58020000000002</v>
      </c>
      <c r="BD228" s="272">
        <v>3.6415199999999999</v>
      </c>
      <c r="BE228" s="334">
        <v>15630.33891</v>
      </c>
      <c r="BG228" s="331">
        <v>11346.847380000001</v>
      </c>
      <c r="BH228" s="331">
        <v>0</v>
      </c>
      <c r="BI228" s="331">
        <v>0</v>
      </c>
      <c r="BJ228" s="334">
        <v>4283.4915300000002</v>
      </c>
      <c r="BK228" s="331">
        <v>1615.0711000000001</v>
      </c>
      <c r="BL228" s="334">
        <v>-2000</v>
      </c>
      <c r="BM228" s="331">
        <v>0</v>
      </c>
      <c r="BN228" s="334">
        <v>4668.4204300000001</v>
      </c>
      <c r="BP228" s="334">
        <v>42687.946329999999</v>
      </c>
      <c r="BQ228" s="311">
        <v>15492.34727</v>
      </c>
      <c r="BR228" s="272">
        <v>-137.99164000000002</v>
      </c>
      <c r="BS228" s="461">
        <v>-21902.805039999999</v>
      </c>
      <c r="BT228" s="272">
        <v>1.8029999999999999</v>
      </c>
      <c r="BU228" s="272">
        <v>405.29760999999996</v>
      </c>
      <c r="BV228" s="333">
        <v>34291.352060000005</v>
      </c>
      <c r="BX228" s="272">
        <v>62437.771099999998</v>
      </c>
      <c r="BY228" s="469">
        <v>-40.30312</v>
      </c>
      <c r="BZ228" s="469">
        <v>10056.253500000001</v>
      </c>
      <c r="CA228" s="552"/>
      <c r="CB228" s="335">
        <v>8.9</v>
      </c>
      <c r="CC228" s="471">
        <f t="shared" si="3"/>
        <v>8.9</v>
      </c>
      <c r="CD228" s="558"/>
      <c r="CE228" s="272"/>
      <c r="CF228" s="262"/>
      <c r="CI228" s="158">
        <v>0</v>
      </c>
      <c r="CJ228" s="331">
        <v>17072.808494136178</v>
      </c>
      <c r="CK228" s="331">
        <v>16736.589840537948</v>
      </c>
      <c r="CL228" s="331">
        <v>16598.335956096638</v>
      </c>
      <c r="CM228" s="472">
        <v>17586.585291433799</v>
      </c>
      <c r="CN228" s="472">
        <v>17989.614002777864</v>
      </c>
      <c r="CO228" s="480">
        <v>-1492.3150000000001</v>
      </c>
      <c r="CP228" s="557"/>
      <c r="CQ228" s="474">
        <v>462.56104999999997</v>
      </c>
      <c r="CR228" s="474">
        <v>423.64436999999998</v>
      </c>
    </row>
    <row r="229" spans="1:96" x14ac:dyDescent="0.2">
      <c r="A229" s="154">
        <v>738</v>
      </c>
      <c r="B229" s="156" t="s">
        <v>253</v>
      </c>
      <c r="C229" s="325">
        <v>2974</v>
      </c>
      <c r="D229" s="270">
        <v>8.8600000000000012</v>
      </c>
      <c r="E229" s="185"/>
      <c r="G229" s="272">
        <v>2002.31204</v>
      </c>
      <c r="H229" s="272">
        <v>9507.9588999999996</v>
      </c>
      <c r="I229" s="272"/>
      <c r="J229" s="272">
        <v>5489.2181700000001</v>
      </c>
      <c r="K229" s="272">
        <v>556.399</v>
      </c>
      <c r="L229" s="272">
        <v>1314.6168400000001</v>
      </c>
      <c r="M229" s="272">
        <v>7360.2340100000001</v>
      </c>
      <c r="N229" s="272">
        <v>1502.4179999999999</v>
      </c>
      <c r="O229" s="272">
        <v>26.576650000000001</v>
      </c>
      <c r="P229" s="272">
        <v>249.89044000000001</v>
      </c>
      <c r="Q229" s="272">
        <v>8.2588699999999999</v>
      </c>
      <c r="R229" s="272">
        <v>2.2160100000000003</v>
      </c>
      <c r="S229" s="272">
        <v>1139.7342200000001</v>
      </c>
      <c r="U229" s="272">
        <v>698.91577000000007</v>
      </c>
      <c r="V229" s="272">
        <v>0</v>
      </c>
      <c r="W229" s="272">
        <v>0</v>
      </c>
      <c r="X229" s="272">
        <v>440.81844999999998</v>
      </c>
      <c r="Y229" s="272">
        <v>0</v>
      </c>
      <c r="Z229" s="272">
        <v>0</v>
      </c>
      <c r="AA229" s="272">
        <v>0</v>
      </c>
      <c r="AB229" s="272">
        <v>440.81844999999998</v>
      </c>
      <c r="AD229" s="272">
        <v>5421.3087999999998</v>
      </c>
      <c r="AE229" s="157">
        <v>1110.7739999999999</v>
      </c>
      <c r="AF229" s="184">
        <v>-28.96</v>
      </c>
      <c r="AG229" s="272">
        <v>-1083.2909999999999</v>
      </c>
      <c r="AH229" s="272">
        <v>0</v>
      </c>
      <c r="AI229" s="184">
        <v>637.33799999999997</v>
      </c>
      <c r="AJ229" s="272">
        <v>633.36099999999999</v>
      </c>
      <c r="AL229" s="272">
        <v>10236.843999999999</v>
      </c>
      <c r="AM229" s="184">
        <v>0</v>
      </c>
      <c r="AN229" s="272">
        <v>-336.05200000000002</v>
      </c>
      <c r="AO229" s="343">
        <v>2965</v>
      </c>
      <c r="AP229" s="332">
        <v>8.8000000000000007</v>
      </c>
      <c r="AQ229" s="448"/>
      <c r="AS229" s="455">
        <v>2099.20352</v>
      </c>
      <c r="AT229" s="272">
        <v>9396.1907100000008</v>
      </c>
      <c r="AU229" s="450"/>
      <c r="AV229" s="334">
        <v>5886.2717400000001</v>
      </c>
      <c r="AW229" s="334">
        <v>433.16485</v>
      </c>
      <c r="AX229" s="334">
        <v>1391.6510000000001</v>
      </c>
      <c r="AY229" s="334">
        <v>7711.0875900000001</v>
      </c>
      <c r="AZ229" s="334">
        <v>1503.6880000000001</v>
      </c>
      <c r="BA229" s="272">
        <v>29.98556</v>
      </c>
      <c r="BB229" s="333">
        <v>293.25094999999999</v>
      </c>
      <c r="BC229" s="272">
        <v>8.9261299999999988</v>
      </c>
      <c r="BD229" s="272">
        <v>3.4675199999999999</v>
      </c>
      <c r="BE229" s="334">
        <v>1659.98162</v>
      </c>
      <c r="BG229" s="331">
        <v>1305.1389899999999</v>
      </c>
      <c r="BH229" s="331">
        <v>0</v>
      </c>
      <c r="BI229" s="331">
        <v>0</v>
      </c>
      <c r="BJ229" s="334">
        <v>354.84262999999999</v>
      </c>
      <c r="BK229" s="334">
        <v>0</v>
      </c>
      <c r="BL229" s="331">
        <v>0</v>
      </c>
      <c r="BM229" s="334">
        <v>0</v>
      </c>
      <c r="BN229" s="334">
        <v>354.84262999999999</v>
      </c>
      <c r="BP229" s="334">
        <v>5776.1514299999999</v>
      </c>
      <c r="BQ229" s="311">
        <v>1808.9422099999999</v>
      </c>
      <c r="BR229" s="272">
        <v>148.96059</v>
      </c>
      <c r="BS229" s="461">
        <v>-529.63999000000001</v>
      </c>
      <c r="BT229" s="272">
        <v>0</v>
      </c>
      <c r="BU229" s="272">
        <v>176.43298000000001</v>
      </c>
      <c r="BV229" s="333">
        <v>610.45822999999996</v>
      </c>
      <c r="BX229" s="272">
        <v>8815.7919999999995</v>
      </c>
      <c r="BY229" s="469">
        <v>0</v>
      </c>
      <c r="BZ229" s="469">
        <v>-1421.0519999999999</v>
      </c>
      <c r="CA229" s="552"/>
      <c r="CB229" s="335">
        <v>8.8000000000000007</v>
      </c>
      <c r="CC229" s="471">
        <f t="shared" si="3"/>
        <v>8.8000000000000007</v>
      </c>
      <c r="CD229" s="558"/>
      <c r="CE229" s="272"/>
      <c r="CF229" s="262"/>
      <c r="CI229" s="158">
        <v>0</v>
      </c>
      <c r="CJ229" s="331">
        <v>2009.6887324680738</v>
      </c>
      <c r="CK229" s="331">
        <v>2183.5978485504052</v>
      </c>
      <c r="CL229" s="331">
        <v>2117.0819958468555</v>
      </c>
      <c r="CM229" s="472">
        <v>2221.8273211917985</v>
      </c>
      <c r="CN229" s="472">
        <v>2161.6679225698545</v>
      </c>
      <c r="CO229" s="480">
        <v>-401.01799999999997</v>
      </c>
      <c r="CP229" s="557"/>
      <c r="CQ229" s="474">
        <v>0</v>
      </c>
      <c r="CR229" s="474">
        <v>0</v>
      </c>
    </row>
    <row r="230" spans="1:96" x14ac:dyDescent="0.2">
      <c r="A230" s="154">
        <v>739</v>
      </c>
      <c r="B230" s="156" t="s">
        <v>254</v>
      </c>
      <c r="C230" s="325">
        <v>3216</v>
      </c>
      <c r="D230" s="270">
        <v>8.86</v>
      </c>
      <c r="E230" s="185"/>
      <c r="G230" s="272">
        <v>3238.3692000000001</v>
      </c>
      <c r="H230" s="272">
        <v>13094.88847</v>
      </c>
      <c r="I230" s="272"/>
      <c r="J230" s="272">
        <v>5217.8079200000002</v>
      </c>
      <c r="K230" s="272">
        <v>845.16876000000002</v>
      </c>
      <c r="L230" s="272">
        <v>1485.07843</v>
      </c>
      <c r="M230" s="272">
        <v>7548.0551100000002</v>
      </c>
      <c r="N230" s="272">
        <v>4696.3450000000003</v>
      </c>
      <c r="O230" s="272">
        <v>30.020509999999998</v>
      </c>
      <c r="P230" s="272">
        <v>87.65961999999999</v>
      </c>
      <c r="Q230" s="272">
        <v>16.171399999999998</v>
      </c>
      <c r="R230" s="272">
        <v>5.5034399999999994</v>
      </c>
      <c r="S230" s="272">
        <v>2342.9619400000001</v>
      </c>
      <c r="U230" s="272">
        <v>1508.4164900000001</v>
      </c>
      <c r="V230" s="272">
        <v>0</v>
      </c>
      <c r="W230" s="272">
        <v>1333.1738799999998</v>
      </c>
      <c r="X230" s="272">
        <v>-498.62842999999998</v>
      </c>
      <c r="Y230" s="272">
        <v>0</v>
      </c>
      <c r="Z230" s="272">
        <v>0</v>
      </c>
      <c r="AA230" s="272">
        <v>0</v>
      </c>
      <c r="AB230" s="272">
        <v>-498.62842999999998</v>
      </c>
      <c r="AD230" s="272">
        <v>7745.5932000000003</v>
      </c>
      <c r="AE230" s="157">
        <v>1030.3688299999999</v>
      </c>
      <c r="AF230" s="184">
        <v>20.580770000000001</v>
      </c>
      <c r="AG230" s="272">
        <v>-1406.1081200000001</v>
      </c>
      <c r="AH230" s="272">
        <v>7.8769499999999999</v>
      </c>
      <c r="AI230" s="184">
        <v>22.984000000000002</v>
      </c>
      <c r="AJ230" s="272">
        <v>2914.8816400000001</v>
      </c>
      <c r="AL230" s="272">
        <v>4072.9030799999996</v>
      </c>
      <c r="AM230" s="184">
        <v>37.171219999999998</v>
      </c>
      <c r="AN230" s="272">
        <v>-611.48775999999998</v>
      </c>
      <c r="AO230" s="343">
        <v>3188</v>
      </c>
      <c r="AP230" s="332">
        <v>8.9</v>
      </c>
      <c r="AQ230" s="448"/>
      <c r="AS230" s="455">
        <v>3181.9050899999997</v>
      </c>
      <c r="AT230" s="272">
        <v>13191.98091</v>
      </c>
      <c r="AU230" s="450"/>
      <c r="AV230" s="334">
        <v>5341.6943600000004</v>
      </c>
      <c r="AW230" s="334">
        <v>822.54436999999996</v>
      </c>
      <c r="AX230" s="334">
        <v>1685.3378300000002</v>
      </c>
      <c r="AY230" s="334">
        <v>7849.5765599999995</v>
      </c>
      <c r="AZ230" s="334">
        <v>4004.9760000000001</v>
      </c>
      <c r="BA230" s="272">
        <v>32.516060000000003</v>
      </c>
      <c r="BB230" s="333">
        <v>81.798699999999997</v>
      </c>
      <c r="BC230" s="272">
        <v>11.575889999999999</v>
      </c>
      <c r="BD230" s="272">
        <v>2.9996399999999999</v>
      </c>
      <c r="BE230" s="334">
        <v>1803.8903500000001</v>
      </c>
      <c r="BG230" s="331">
        <v>1675.4399099999998</v>
      </c>
      <c r="BH230" s="334">
        <v>0</v>
      </c>
      <c r="BI230" s="334">
        <v>0</v>
      </c>
      <c r="BJ230" s="334">
        <v>128.45044000000001</v>
      </c>
      <c r="BK230" s="334">
        <v>0</v>
      </c>
      <c r="BL230" s="331">
        <v>0</v>
      </c>
      <c r="BM230" s="331">
        <v>0</v>
      </c>
      <c r="BN230" s="334">
        <v>128.45044000000001</v>
      </c>
      <c r="BP230" s="334">
        <v>7874.0436400000008</v>
      </c>
      <c r="BQ230" s="311">
        <v>1781.8299199999999</v>
      </c>
      <c r="BR230" s="272">
        <v>-22.06043</v>
      </c>
      <c r="BS230" s="461">
        <v>-1374.9164699999999</v>
      </c>
      <c r="BT230" s="272">
        <v>262.30912000000001</v>
      </c>
      <c r="BU230" s="272">
        <v>26.21</v>
      </c>
      <c r="BV230" s="333">
        <v>3297.4702000000002</v>
      </c>
      <c r="BX230" s="272">
        <v>3461.4153200000005</v>
      </c>
      <c r="BY230" s="469">
        <v>46.576169999999998</v>
      </c>
      <c r="BZ230" s="469">
        <v>-611.48775999999998</v>
      </c>
      <c r="CA230" s="552"/>
      <c r="CB230" s="335">
        <v>8.9</v>
      </c>
      <c r="CC230" s="471">
        <f t="shared" si="3"/>
        <v>8.9</v>
      </c>
      <c r="CD230" s="558"/>
      <c r="CE230" s="272"/>
      <c r="CF230" s="262"/>
      <c r="CI230" s="158">
        <v>0</v>
      </c>
      <c r="CJ230" s="331">
        <v>4495.7861284050214</v>
      </c>
      <c r="CK230" s="331">
        <v>4173.252021850084</v>
      </c>
      <c r="CL230" s="331">
        <v>4149.6025859557794</v>
      </c>
      <c r="CM230" s="472">
        <v>4323.253640251979</v>
      </c>
      <c r="CN230" s="472">
        <v>4457.9302048370164</v>
      </c>
      <c r="CO230" s="480">
        <v>454.452</v>
      </c>
      <c r="CP230" s="557"/>
      <c r="CQ230" s="474">
        <v>2.0522499999999999</v>
      </c>
      <c r="CR230" s="474">
        <v>0.12</v>
      </c>
    </row>
    <row r="231" spans="1:96" x14ac:dyDescent="0.2">
      <c r="A231" s="154">
        <v>740</v>
      </c>
      <c r="B231" s="156" t="s">
        <v>255</v>
      </c>
      <c r="C231" s="325">
        <v>31843</v>
      </c>
      <c r="D231" s="270">
        <v>9.36</v>
      </c>
      <c r="E231" s="185"/>
      <c r="G231" s="272">
        <v>26787.981489999998</v>
      </c>
      <c r="H231" s="272">
        <v>97974.00301</v>
      </c>
      <c r="I231" s="272"/>
      <c r="J231" s="272">
        <v>60249.373780000002</v>
      </c>
      <c r="K231" s="272">
        <v>9649.8221699999995</v>
      </c>
      <c r="L231" s="272">
        <v>14478.800539999998</v>
      </c>
      <c r="M231" s="272">
        <v>84377.99648999999</v>
      </c>
      <c r="N231" s="272">
        <v>10662.728999999999</v>
      </c>
      <c r="O231" s="272">
        <v>185.75073999999998</v>
      </c>
      <c r="P231" s="272">
        <v>2340.2577799999999</v>
      </c>
      <c r="Q231" s="272">
        <v>1289.53898</v>
      </c>
      <c r="R231" s="272">
        <v>204.69623999999999</v>
      </c>
      <c r="S231" s="272">
        <v>22785.039670000002</v>
      </c>
      <c r="U231" s="272">
        <v>10611.68216</v>
      </c>
      <c r="V231" s="272">
        <v>0</v>
      </c>
      <c r="W231" s="272">
        <v>0</v>
      </c>
      <c r="X231" s="272">
        <v>12173.35751</v>
      </c>
      <c r="Y231" s="272">
        <v>-25.679639999999999</v>
      </c>
      <c r="Z231" s="272">
        <v>0</v>
      </c>
      <c r="AA231" s="272">
        <v>0</v>
      </c>
      <c r="AB231" s="272">
        <v>12199.03715</v>
      </c>
      <c r="AD231" s="272">
        <v>40858.41605</v>
      </c>
      <c r="AE231" s="157">
        <v>20496.04679</v>
      </c>
      <c r="AF231" s="184">
        <v>-2288.9928799999998</v>
      </c>
      <c r="AG231" s="272">
        <v>-22257.577109999998</v>
      </c>
      <c r="AH231" s="272">
        <v>41.186500000000002</v>
      </c>
      <c r="AI231" s="184">
        <v>1234.7817700000001</v>
      </c>
      <c r="AJ231" s="272">
        <v>1294.80207</v>
      </c>
      <c r="AL231" s="272">
        <v>110296.575</v>
      </c>
      <c r="AM231" s="184">
        <v>157.39573000000001</v>
      </c>
      <c r="AN231" s="272">
        <v>14903.45</v>
      </c>
      <c r="AO231" s="343">
        <v>31460</v>
      </c>
      <c r="AP231" s="332">
        <v>9.3000000000000007</v>
      </c>
      <c r="AQ231" s="448"/>
      <c r="AS231" s="455">
        <v>26175.186859999998</v>
      </c>
      <c r="AT231" s="272">
        <v>98023.150859999994</v>
      </c>
      <c r="AU231" s="450"/>
      <c r="AV231" s="334">
        <v>60842.482539999997</v>
      </c>
      <c r="AW231" s="334">
        <v>8942.5338400000001</v>
      </c>
      <c r="AX231" s="334">
        <v>14518.821400000001</v>
      </c>
      <c r="AY231" s="334">
        <v>84303.837780000002</v>
      </c>
      <c r="AZ231" s="334">
        <v>4188.1220000000003</v>
      </c>
      <c r="BA231" s="272">
        <v>263.27754999999996</v>
      </c>
      <c r="BB231" s="333">
        <v>3133.7119600000001</v>
      </c>
      <c r="BC231" s="272">
        <v>1389.24353</v>
      </c>
      <c r="BD231" s="272">
        <v>263.79937999999999</v>
      </c>
      <c r="BE231" s="334">
        <v>14899.005519999999</v>
      </c>
      <c r="BG231" s="331">
        <v>11568.99402</v>
      </c>
      <c r="BH231" s="334">
        <v>102.31021000000001</v>
      </c>
      <c r="BI231" s="331">
        <v>0</v>
      </c>
      <c r="BJ231" s="334">
        <v>3432.3217100000002</v>
      </c>
      <c r="BK231" s="331">
        <v>-25.679639999999999</v>
      </c>
      <c r="BL231" s="331">
        <v>0</v>
      </c>
      <c r="BM231" s="331">
        <v>0</v>
      </c>
      <c r="BN231" s="334">
        <v>3458.00135</v>
      </c>
      <c r="BP231" s="334">
        <v>44316.417399999998</v>
      </c>
      <c r="BQ231" s="311">
        <v>14937.24627</v>
      </c>
      <c r="BR231" s="272">
        <v>-64.069459999999992</v>
      </c>
      <c r="BS231" s="461">
        <v>-10687.301720000001</v>
      </c>
      <c r="BT231" s="272">
        <v>36.749430000000004</v>
      </c>
      <c r="BU231" s="272">
        <v>240.2268</v>
      </c>
      <c r="BV231" s="333">
        <v>10783.065649999999</v>
      </c>
      <c r="BX231" s="272">
        <v>111200</v>
      </c>
      <c r="BY231" s="469">
        <v>130.89572999999999</v>
      </c>
      <c r="BZ231" s="469">
        <v>903.42499999999995</v>
      </c>
      <c r="CA231" s="552"/>
      <c r="CB231" s="335">
        <v>9.3000000000000007</v>
      </c>
      <c r="CC231" s="471">
        <f t="shared" si="3"/>
        <v>9.3000000000000007</v>
      </c>
      <c r="CD231" s="558"/>
      <c r="CE231" s="272"/>
      <c r="CF231" s="262"/>
      <c r="CI231" s="158">
        <v>0</v>
      </c>
      <c r="CJ231" s="331">
        <v>7654.3110672996381</v>
      </c>
      <c r="CK231" s="331">
        <v>7066.4339693477514</v>
      </c>
      <c r="CL231" s="331">
        <v>7438.8223848582029</v>
      </c>
      <c r="CM231" s="472">
        <v>9021.4666809491828</v>
      </c>
      <c r="CN231" s="472">
        <v>9574.6885169763991</v>
      </c>
      <c r="CO231" s="480">
        <v>-461.47899999999998</v>
      </c>
      <c r="CP231" s="557"/>
      <c r="CQ231" s="474">
        <v>0</v>
      </c>
      <c r="CR231" s="474">
        <v>0</v>
      </c>
    </row>
    <row r="232" spans="1:96" x14ac:dyDescent="0.2">
      <c r="A232" s="154">
        <v>742</v>
      </c>
      <c r="B232" s="156" t="s">
        <v>256</v>
      </c>
      <c r="C232" s="325">
        <v>978</v>
      </c>
      <c r="D232" s="270">
        <v>9.11</v>
      </c>
      <c r="E232" s="185"/>
      <c r="G232" s="272">
        <v>1275.9801299999999</v>
      </c>
      <c r="H232" s="272">
        <v>5349.47786</v>
      </c>
      <c r="I232" s="272"/>
      <c r="J232" s="272">
        <v>1749.36941</v>
      </c>
      <c r="K232" s="272">
        <v>848.70983000000001</v>
      </c>
      <c r="L232" s="272">
        <v>430.10563999999999</v>
      </c>
      <c r="M232" s="272">
        <v>3028.1848799999998</v>
      </c>
      <c r="N232" s="272">
        <v>1403.2</v>
      </c>
      <c r="O232" s="272">
        <v>0</v>
      </c>
      <c r="P232" s="272">
        <v>15.39615</v>
      </c>
      <c r="Q232" s="272">
        <v>11.60826</v>
      </c>
      <c r="R232" s="272">
        <v>2.2519099999999996</v>
      </c>
      <c r="S232" s="272">
        <v>351.84734999999995</v>
      </c>
      <c r="U232" s="272">
        <v>212.01014000000001</v>
      </c>
      <c r="V232" s="272">
        <v>0</v>
      </c>
      <c r="W232" s="272">
        <v>3.4066000000000001</v>
      </c>
      <c r="X232" s="272">
        <v>136.43060999999997</v>
      </c>
      <c r="Y232" s="272">
        <v>-8.4093900000000001</v>
      </c>
      <c r="Z232" s="272">
        <v>0</v>
      </c>
      <c r="AA232" s="272">
        <v>0</v>
      </c>
      <c r="AB232" s="272">
        <v>144.84</v>
      </c>
      <c r="AD232" s="272">
        <v>2634.5737400000003</v>
      </c>
      <c r="AE232" s="157">
        <v>173.84679</v>
      </c>
      <c r="AF232" s="184">
        <v>-1.9341600000000001</v>
      </c>
      <c r="AG232" s="272">
        <v>-370.79124000000002</v>
      </c>
      <c r="AH232" s="272">
        <v>0</v>
      </c>
      <c r="AI232" s="184">
        <v>0</v>
      </c>
      <c r="AJ232" s="272">
        <v>2031.7541799999999</v>
      </c>
      <c r="AL232" s="272">
        <v>930.18999999999994</v>
      </c>
      <c r="AM232" s="184">
        <v>0</v>
      </c>
      <c r="AN232" s="272">
        <v>-217.60400000000001</v>
      </c>
      <c r="AO232" s="343">
        <v>964</v>
      </c>
      <c r="AP232" s="332">
        <v>9.1</v>
      </c>
      <c r="AQ232" s="448"/>
      <c r="AS232" s="455">
        <v>1379.50109</v>
      </c>
      <c r="AT232" s="272">
        <v>5791.0935399999998</v>
      </c>
      <c r="AU232" s="450"/>
      <c r="AV232" s="334">
        <v>1540.0174299999999</v>
      </c>
      <c r="AW232" s="334">
        <v>661.13855000000001</v>
      </c>
      <c r="AX232" s="334">
        <v>448.99630999999999</v>
      </c>
      <c r="AY232" s="334">
        <v>2650.15229</v>
      </c>
      <c r="AZ232" s="334">
        <v>1585.7929999999999</v>
      </c>
      <c r="BA232" s="272">
        <v>0</v>
      </c>
      <c r="BB232" s="333">
        <v>15.459910000000001</v>
      </c>
      <c r="BC232" s="272">
        <v>23.754429999999999</v>
      </c>
      <c r="BD232" s="272">
        <v>0.97987000000000002</v>
      </c>
      <c r="BE232" s="334">
        <v>-168.33251000000001</v>
      </c>
      <c r="BG232" s="331">
        <v>225.44485999999998</v>
      </c>
      <c r="BH232" s="331">
        <v>0</v>
      </c>
      <c r="BI232" s="331">
        <v>0</v>
      </c>
      <c r="BJ232" s="334">
        <v>-393.77737000000002</v>
      </c>
      <c r="BK232" s="331">
        <v>-8.4093900000000001</v>
      </c>
      <c r="BL232" s="331">
        <v>0</v>
      </c>
      <c r="BM232" s="331">
        <v>0</v>
      </c>
      <c r="BN232" s="334">
        <v>-385.36797999999999</v>
      </c>
      <c r="BP232" s="334">
        <v>2249.2057600000003</v>
      </c>
      <c r="BQ232" s="311">
        <v>-168.33251000000001</v>
      </c>
      <c r="BR232" s="272">
        <v>0</v>
      </c>
      <c r="BS232" s="461">
        <v>-411.32107999999999</v>
      </c>
      <c r="BT232" s="272">
        <v>145.38</v>
      </c>
      <c r="BU232" s="272">
        <v>0</v>
      </c>
      <c r="BV232" s="333">
        <v>1732.9735000000001</v>
      </c>
      <c r="BX232" s="272">
        <v>815.38599999999997</v>
      </c>
      <c r="BY232" s="469">
        <v>5.5740000000000005E-2</v>
      </c>
      <c r="BZ232" s="469">
        <v>-114.804</v>
      </c>
      <c r="CA232" s="552"/>
      <c r="CB232" s="335">
        <v>9.1</v>
      </c>
      <c r="CC232" s="471">
        <f t="shared" si="3"/>
        <v>9.1</v>
      </c>
      <c r="CD232" s="558"/>
      <c r="CE232" s="272"/>
      <c r="CF232" s="262"/>
      <c r="CG232" s="260"/>
      <c r="CI232" s="158">
        <v>0</v>
      </c>
      <c r="CJ232" s="331">
        <v>1953.9469718906257</v>
      </c>
      <c r="CK232" s="331">
        <v>1954.0189716196328</v>
      </c>
      <c r="CL232" s="331">
        <v>1978.4847597900296</v>
      </c>
      <c r="CM232" s="472">
        <v>2053.9288159959456</v>
      </c>
      <c r="CN232" s="472">
        <v>2096.1318029772974</v>
      </c>
      <c r="CO232" s="480">
        <v>462.73200000000003</v>
      </c>
      <c r="CP232" s="557"/>
      <c r="CQ232" s="474">
        <v>0</v>
      </c>
      <c r="CR232" s="474">
        <v>0</v>
      </c>
    </row>
    <row r="233" spans="1:96" x14ac:dyDescent="0.2">
      <c r="A233" s="154">
        <v>743</v>
      </c>
      <c r="B233" s="156" t="s">
        <v>257</v>
      </c>
      <c r="C233" s="325">
        <v>66160</v>
      </c>
      <c r="D233" s="270">
        <v>8.36</v>
      </c>
      <c r="E233" s="185"/>
      <c r="G233" s="272">
        <v>27935.057199999999</v>
      </c>
      <c r="H233" s="272">
        <v>220093.39790000001</v>
      </c>
      <c r="I233" s="272"/>
      <c r="J233" s="272">
        <v>120070.19136</v>
      </c>
      <c r="K233" s="272">
        <v>17582.01325</v>
      </c>
      <c r="L233" s="272">
        <v>30126.416100000002</v>
      </c>
      <c r="M233" s="272">
        <v>167778.62071000002</v>
      </c>
      <c r="N233" s="272">
        <v>30872.925999999999</v>
      </c>
      <c r="O233" s="272">
        <v>5988.4889800000001</v>
      </c>
      <c r="P233" s="272">
        <v>9466.4383900000012</v>
      </c>
      <c r="Q233" s="272">
        <v>4670.8780999999999</v>
      </c>
      <c r="R233" s="272">
        <v>182.64409000000001</v>
      </c>
      <c r="S233" s="272">
        <v>7503.4906100000007</v>
      </c>
      <c r="U233" s="272">
        <v>21008.8364</v>
      </c>
      <c r="V233" s="272">
        <v>0</v>
      </c>
      <c r="W233" s="272">
        <v>0</v>
      </c>
      <c r="X233" s="272">
        <v>-13505.345789999999</v>
      </c>
      <c r="Y233" s="272">
        <v>-34.526449999999997</v>
      </c>
      <c r="Z233" s="272">
        <v>0</v>
      </c>
      <c r="AA233" s="272">
        <v>0.73908000000000007</v>
      </c>
      <c r="AB233" s="272">
        <v>-13471.558419999999</v>
      </c>
      <c r="AD233" s="272">
        <v>20825.071320000003</v>
      </c>
      <c r="AE233" s="157">
        <v>14774.034800000001</v>
      </c>
      <c r="AF233" s="184">
        <v>7270.5441900000005</v>
      </c>
      <c r="AG233" s="272">
        <v>-33348.012840000003</v>
      </c>
      <c r="AH233" s="272">
        <v>560.19000000000005</v>
      </c>
      <c r="AI233" s="184">
        <v>-5949.79684</v>
      </c>
      <c r="AJ233" s="272">
        <v>10393.059210000001</v>
      </c>
      <c r="AL233" s="272">
        <v>360270.82699999999</v>
      </c>
      <c r="AM233" s="184">
        <v>2248.0961200000002</v>
      </c>
      <c r="AN233" s="272">
        <v>35678.557999999997</v>
      </c>
      <c r="AO233" s="343">
        <v>66611</v>
      </c>
      <c r="AP233" s="332">
        <v>8.4</v>
      </c>
      <c r="AQ233" s="448"/>
      <c r="AS233" s="455">
        <v>42998.351340000001</v>
      </c>
      <c r="AT233" s="272">
        <v>221748.40268999999</v>
      </c>
      <c r="AU233" s="450"/>
      <c r="AV233" s="334">
        <v>120464.07554000001</v>
      </c>
      <c r="AW233" s="334">
        <v>15375.879419999999</v>
      </c>
      <c r="AX233" s="334">
        <v>31049.28788</v>
      </c>
      <c r="AY233" s="334">
        <v>166889.24283999999</v>
      </c>
      <c r="AZ233" s="334">
        <v>24049.488000000001</v>
      </c>
      <c r="BA233" s="272">
        <v>7714.1037999999999</v>
      </c>
      <c r="BB233" s="333">
        <v>11092.28074</v>
      </c>
      <c r="BC233" s="272">
        <v>9404.3071600000003</v>
      </c>
      <c r="BD233" s="272">
        <v>181.59710999999999</v>
      </c>
      <c r="BE233" s="334">
        <v>18033.212600000003</v>
      </c>
      <c r="BG233" s="331">
        <v>21006.411199999999</v>
      </c>
      <c r="BH233" s="334">
        <v>0</v>
      </c>
      <c r="BI233" s="334">
        <v>0</v>
      </c>
      <c r="BJ233" s="334">
        <v>-2973.1986000000002</v>
      </c>
      <c r="BK233" s="334">
        <v>-33.517919999999997</v>
      </c>
      <c r="BL233" s="331">
        <v>0</v>
      </c>
      <c r="BM233" s="331">
        <v>-0.47814999999999996</v>
      </c>
      <c r="BN233" s="334">
        <v>-2939.2025299999996</v>
      </c>
      <c r="BP233" s="334">
        <v>17885.86879</v>
      </c>
      <c r="BQ233" s="311">
        <v>17097.266789999998</v>
      </c>
      <c r="BR233" s="272">
        <v>-935.94581000000005</v>
      </c>
      <c r="BS233" s="461">
        <v>-41747.47163</v>
      </c>
      <c r="BT233" s="272">
        <v>242.8</v>
      </c>
      <c r="BU233" s="272">
        <v>1579.8430700000001</v>
      </c>
      <c r="BV233" s="333">
        <v>7173.3278000000009</v>
      </c>
      <c r="BX233" s="272">
        <v>368324.11755999998</v>
      </c>
      <c r="BY233" s="469">
        <v>17494.959469999998</v>
      </c>
      <c r="BZ233" s="469">
        <v>8053.2905599999995</v>
      </c>
      <c r="CA233" s="552"/>
      <c r="CB233" s="335">
        <v>9.1999999999999993</v>
      </c>
      <c r="CC233" s="471">
        <f t="shared" si="3"/>
        <v>9.1999999999999993</v>
      </c>
      <c r="CD233" s="558"/>
      <c r="CE233" s="272"/>
      <c r="CF233" s="262"/>
      <c r="CI233" s="158">
        <v>0</v>
      </c>
      <c r="CJ233" s="331">
        <v>31817.214689865534</v>
      </c>
      <c r="CK233" s="331">
        <v>35095.676951697547</v>
      </c>
      <c r="CL233" s="331">
        <v>26451.203764176855</v>
      </c>
      <c r="CM233" s="472">
        <v>30714.037650092298</v>
      </c>
      <c r="CN233" s="472">
        <v>31286.250698658019</v>
      </c>
      <c r="CO233" s="480">
        <v>-1342.54</v>
      </c>
      <c r="CP233" s="557"/>
      <c r="CQ233" s="474">
        <v>0</v>
      </c>
      <c r="CR233" s="474">
        <v>0</v>
      </c>
    </row>
    <row r="234" spans="1:96" x14ac:dyDescent="0.2">
      <c r="A234" s="154">
        <v>746</v>
      </c>
      <c r="B234" s="156" t="s">
        <v>258</v>
      </c>
      <c r="C234" s="325">
        <v>4713</v>
      </c>
      <c r="D234" s="270">
        <v>9.11</v>
      </c>
      <c r="E234" s="185"/>
      <c r="G234" s="272">
        <v>2802.2763399999999</v>
      </c>
      <c r="H234" s="272">
        <v>18985.737559999998</v>
      </c>
      <c r="I234" s="272"/>
      <c r="J234" s="272">
        <v>6923.9360900000001</v>
      </c>
      <c r="K234" s="272">
        <v>2749.8986500000001</v>
      </c>
      <c r="L234" s="272">
        <v>1389.52286</v>
      </c>
      <c r="M234" s="272">
        <v>11063.357599999999</v>
      </c>
      <c r="N234" s="272">
        <v>7476.5590000000002</v>
      </c>
      <c r="O234" s="272">
        <v>153.15185</v>
      </c>
      <c r="P234" s="272">
        <v>212.57512</v>
      </c>
      <c r="Q234" s="272">
        <v>224.20526000000001</v>
      </c>
      <c r="R234" s="272">
        <v>110.57555000000001</v>
      </c>
      <c r="S234" s="272">
        <v>2410.6618199999998</v>
      </c>
      <c r="U234" s="272">
        <v>1291.8209099999999</v>
      </c>
      <c r="V234" s="272">
        <v>0</v>
      </c>
      <c r="W234" s="272">
        <v>0</v>
      </c>
      <c r="X234" s="272">
        <v>1118.8409099999999</v>
      </c>
      <c r="Y234" s="272">
        <v>-100.05228</v>
      </c>
      <c r="Z234" s="272">
        <v>0</v>
      </c>
      <c r="AA234" s="272">
        <v>0</v>
      </c>
      <c r="AB234" s="272">
        <v>1218.89319</v>
      </c>
      <c r="AD234" s="272">
        <v>12212.08661</v>
      </c>
      <c r="AE234" s="157">
        <v>2358.5439799999999</v>
      </c>
      <c r="AF234" s="184">
        <v>-52.117839999999994</v>
      </c>
      <c r="AG234" s="272">
        <v>-1524.5783999999999</v>
      </c>
      <c r="AH234" s="272">
        <v>84</v>
      </c>
      <c r="AI234" s="184">
        <v>1350.4376499999998</v>
      </c>
      <c r="AJ234" s="272">
        <v>4245.37806</v>
      </c>
      <c r="AL234" s="272">
        <v>10491.817999999999</v>
      </c>
      <c r="AM234" s="184">
        <v>319.10334</v>
      </c>
      <c r="AN234" s="272">
        <v>-3115.52</v>
      </c>
      <c r="AO234" s="343">
        <v>4603</v>
      </c>
      <c r="AP234" s="332">
        <v>9.6</v>
      </c>
      <c r="AQ234" s="448"/>
      <c r="AS234" s="455">
        <v>2635.76917</v>
      </c>
      <c r="AT234" s="272">
        <v>19348.681</v>
      </c>
      <c r="AU234" s="450"/>
      <c r="AV234" s="334">
        <v>7328.5860199999997</v>
      </c>
      <c r="AW234" s="334">
        <v>2021.0225800000001</v>
      </c>
      <c r="AX234" s="334">
        <v>1612.82672</v>
      </c>
      <c r="AY234" s="334">
        <v>10962.435320000001</v>
      </c>
      <c r="AZ234" s="334">
        <v>7266.2349999999997</v>
      </c>
      <c r="BA234" s="272">
        <v>130.79688000000002</v>
      </c>
      <c r="BB234" s="333">
        <v>211.55176999999998</v>
      </c>
      <c r="BC234" s="272">
        <v>194.4545</v>
      </c>
      <c r="BD234" s="272">
        <v>59.99136</v>
      </c>
      <c r="BE234" s="334">
        <v>1569.4667400000001</v>
      </c>
      <c r="BG234" s="331">
        <v>1562.7888799999998</v>
      </c>
      <c r="BH234" s="331">
        <v>0</v>
      </c>
      <c r="BI234" s="334">
        <v>0</v>
      </c>
      <c r="BJ234" s="334">
        <v>6.6778599999999999</v>
      </c>
      <c r="BK234" s="334">
        <v>-100.05228</v>
      </c>
      <c r="BL234" s="331">
        <v>0</v>
      </c>
      <c r="BM234" s="331">
        <v>0</v>
      </c>
      <c r="BN234" s="334">
        <v>106.73014000000001</v>
      </c>
      <c r="BP234" s="334">
        <v>12318.81675</v>
      </c>
      <c r="BQ234" s="311">
        <v>1652.06341</v>
      </c>
      <c r="BR234" s="272">
        <v>82.596670000000003</v>
      </c>
      <c r="BS234" s="461">
        <v>-410.7312</v>
      </c>
      <c r="BT234" s="272">
        <v>15</v>
      </c>
      <c r="BU234" s="272">
        <v>18.972999999999999</v>
      </c>
      <c r="BV234" s="333">
        <v>3573.6793600000005</v>
      </c>
      <c r="BX234" s="272">
        <v>8375.2860000000001</v>
      </c>
      <c r="BY234" s="469">
        <v>243.4615</v>
      </c>
      <c r="BZ234" s="469">
        <v>-2116.5320000000002</v>
      </c>
      <c r="CA234" s="552"/>
      <c r="CB234" s="335">
        <v>9.6</v>
      </c>
      <c r="CC234" s="471">
        <f t="shared" si="3"/>
        <v>9.6</v>
      </c>
      <c r="CD234" s="558"/>
      <c r="CE234" s="272"/>
      <c r="CF234" s="262"/>
      <c r="CG234" s="260"/>
      <c r="CI234" s="158">
        <v>0</v>
      </c>
      <c r="CJ234" s="331">
        <v>7910.5937839764256</v>
      </c>
      <c r="CK234" s="331">
        <v>8241.1142992019995</v>
      </c>
      <c r="CL234" s="331">
        <v>8291.9425225580508</v>
      </c>
      <c r="CM234" s="472">
        <v>8507.9617949889416</v>
      </c>
      <c r="CN234" s="472">
        <v>8420.2884451906284</v>
      </c>
      <c r="CO234" s="480">
        <v>310.69499999999999</v>
      </c>
      <c r="CP234" s="557"/>
      <c r="CQ234" s="474">
        <v>0</v>
      </c>
      <c r="CR234" s="474">
        <v>0</v>
      </c>
    </row>
    <row r="235" spans="1:96" x14ac:dyDescent="0.2">
      <c r="A235" s="154">
        <v>747</v>
      </c>
      <c r="B235" s="156" t="s">
        <v>259</v>
      </c>
      <c r="C235" s="325">
        <v>1283</v>
      </c>
      <c r="D235" s="270">
        <v>9.36</v>
      </c>
      <c r="E235" s="185"/>
      <c r="G235" s="272">
        <v>1628.89696</v>
      </c>
      <c r="H235" s="272">
        <v>5130.6075599999995</v>
      </c>
      <c r="I235" s="272"/>
      <c r="J235" s="272">
        <v>1884.6031399999999</v>
      </c>
      <c r="K235" s="272">
        <v>566.12891999999999</v>
      </c>
      <c r="L235" s="272">
        <v>772.31025</v>
      </c>
      <c r="M235" s="272">
        <v>3223.0423100000003</v>
      </c>
      <c r="N235" s="272">
        <v>1650.6959999999999</v>
      </c>
      <c r="O235" s="272">
        <v>15.660030000000001</v>
      </c>
      <c r="P235" s="272">
        <v>0</v>
      </c>
      <c r="Q235" s="272">
        <v>11.189500000000001</v>
      </c>
      <c r="R235" s="272">
        <v>-11.61351</v>
      </c>
      <c r="S235" s="272">
        <v>1410.4907499999999</v>
      </c>
      <c r="U235" s="272">
        <v>714.91931999999997</v>
      </c>
      <c r="V235" s="272">
        <v>0</v>
      </c>
      <c r="W235" s="272">
        <v>0</v>
      </c>
      <c r="X235" s="272">
        <v>695.57143000000008</v>
      </c>
      <c r="Y235" s="272">
        <v>0</v>
      </c>
      <c r="Z235" s="272">
        <v>0</v>
      </c>
      <c r="AA235" s="272">
        <v>0</v>
      </c>
      <c r="AB235" s="272">
        <v>695.57143000000008</v>
      </c>
      <c r="AD235" s="272">
        <v>5866.5873199999996</v>
      </c>
      <c r="AE235" s="157">
        <v>1410.4907499999999</v>
      </c>
      <c r="AF235" s="184">
        <v>0</v>
      </c>
      <c r="AG235" s="272">
        <v>-355.63671999999997</v>
      </c>
      <c r="AH235" s="272">
        <v>0</v>
      </c>
      <c r="AI235" s="184">
        <v>260.44562000000002</v>
      </c>
      <c r="AJ235" s="272">
        <v>5087.7361300000002</v>
      </c>
      <c r="AL235" s="272">
        <v>0</v>
      </c>
      <c r="AM235" s="184">
        <v>0</v>
      </c>
      <c r="AN235" s="272">
        <v>0</v>
      </c>
      <c r="AO235" s="343">
        <v>1264</v>
      </c>
      <c r="AP235" s="332">
        <v>9.4</v>
      </c>
      <c r="AQ235" s="448"/>
      <c r="AS235" s="455">
        <v>1840.71837</v>
      </c>
      <c r="AT235" s="272">
        <v>5226.4442300000001</v>
      </c>
      <c r="AU235" s="450"/>
      <c r="AV235" s="334">
        <v>1910.19508</v>
      </c>
      <c r="AW235" s="334">
        <v>478.29786000000001</v>
      </c>
      <c r="AX235" s="334">
        <v>796.17127000000005</v>
      </c>
      <c r="AY235" s="334">
        <v>3184.6642099999999</v>
      </c>
      <c r="AZ235" s="334">
        <v>1404.3979999999999</v>
      </c>
      <c r="BA235" s="272">
        <v>14.327920000000001</v>
      </c>
      <c r="BB235" s="333">
        <v>0</v>
      </c>
      <c r="BC235" s="272">
        <v>10.474639999999999</v>
      </c>
      <c r="BD235" s="272">
        <v>1.4182600000000001</v>
      </c>
      <c r="BE235" s="334">
        <v>1226.72065</v>
      </c>
      <c r="BG235" s="331">
        <v>638.80684999999994</v>
      </c>
      <c r="BH235" s="334">
        <v>0</v>
      </c>
      <c r="BI235" s="334">
        <v>0</v>
      </c>
      <c r="BJ235" s="334">
        <v>587.91380000000004</v>
      </c>
      <c r="BK235" s="331">
        <v>0</v>
      </c>
      <c r="BL235" s="334">
        <v>0</v>
      </c>
      <c r="BM235" s="334">
        <v>0</v>
      </c>
      <c r="BN235" s="334">
        <v>587.91380000000004</v>
      </c>
      <c r="BP235" s="334">
        <v>6454.5011199999999</v>
      </c>
      <c r="BQ235" s="311">
        <v>1212.8818899999999</v>
      </c>
      <c r="BR235" s="272">
        <v>-13.838760000000001</v>
      </c>
      <c r="BS235" s="461">
        <v>-393.98926</v>
      </c>
      <c r="BT235" s="272">
        <v>49.77957</v>
      </c>
      <c r="BU235" s="272">
        <v>17.25</v>
      </c>
      <c r="BV235" s="333">
        <v>6020.8402100000003</v>
      </c>
      <c r="BX235" s="272">
        <v>0</v>
      </c>
      <c r="BY235" s="469">
        <v>-7.6</v>
      </c>
      <c r="BZ235" s="469">
        <v>0</v>
      </c>
      <c r="CA235" s="552"/>
      <c r="CB235" s="335">
        <v>9.4</v>
      </c>
      <c r="CC235" s="471">
        <f t="shared" si="3"/>
        <v>9.4</v>
      </c>
      <c r="CD235" s="558"/>
      <c r="CE235" s="272"/>
      <c r="CF235" s="262"/>
      <c r="CI235" s="158">
        <v>0</v>
      </c>
      <c r="CJ235" s="331">
        <v>1570.1249914335283</v>
      </c>
      <c r="CK235" s="331">
        <v>1579.4620031781023</v>
      </c>
      <c r="CL235" s="331">
        <v>1712.9844021921581</v>
      </c>
      <c r="CM235" s="472">
        <v>1731.2755423636711</v>
      </c>
      <c r="CN235" s="472">
        <v>1743.2815331712009</v>
      </c>
      <c r="CO235" s="480">
        <v>-263.73</v>
      </c>
      <c r="CP235" s="557"/>
      <c r="CQ235" s="474">
        <v>0</v>
      </c>
      <c r="CR235" s="474">
        <v>0</v>
      </c>
    </row>
    <row r="236" spans="1:96" x14ac:dyDescent="0.2">
      <c r="A236" s="154">
        <v>748</v>
      </c>
      <c r="B236" s="156" t="s">
        <v>260</v>
      </c>
      <c r="C236" s="325">
        <v>4837</v>
      </c>
      <c r="D236" s="270">
        <v>9.36</v>
      </c>
      <c r="E236" s="185"/>
      <c r="G236" s="272">
        <v>2750.1174100000003</v>
      </c>
      <c r="H236" s="272">
        <v>20104.005020000001</v>
      </c>
      <c r="I236" s="272"/>
      <c r="J236" s="272">
        <v>8126.6958500000001</v>
      </c>
      <c r="K236" s="272">
        <v>1234.89985</v>
      </c>
      <c r="L236" s="272">
        <v>1717.0629799999999</v>
      </c>
      <c r="M236" s="272">
        <v>11078.65868</v>
      </c>
      <c r="N236" s="272">
        <v>6827.92</v>
      </c>
      <c r="O236" s="272">
        <v>-58.420349999999999</v>
      </c>
      <c r="P236" s="272">
        <v>207.10288</v>
      </c>
      <c r="Q236" s="272">
        <v>195.14063000000002</v>
      </c>
      <c r="R236" s="272">
        <v>168.67373000000001</v>
      </c>
      <c r="S236" s="272">
        <v>313.63473999999997</v>
      </c>
      <c r="U236" s="272">
        <v>923.71524999999997</v>
      </c>
      <c r="V236" s="272">
        <v>0</v>
      </c>
      <c r="W236" s="272">
        <v>1355.9500500000001</v>
      </c>
      <c r="X236" s="272">
        <v>-1966.0305600000002</v>
      </c>
      <c r="Y236" s="272">
        <v>1931.80096</v>
      </c>
      <c r="Z236" s="272">
        <v>-2050</v>
      </c>
      <c r="AA236" s="272">
        <v>0</v>
      </c>
      <c r="AB236" s="272">
        <v>-1847.83152</v>
      </c>
      <c r="AD236" s="272">
        <v>8482.4132100000006</v>
      </c>
      <c r="AE236" s="157">
        <v>313.63473999999997</v>
      </c>
      <c r="AF236" s="184">
        <v>0</v>
      </c>
      <c r="AG236" s="272">
        <v>-4585.3717400000005</v>
      </c>
      <c r="AH236" s="272">
        <v>0</v>
      </c>
      <c r="AI236" s="184">
        <v>495.80553999999995</v>
      </c>
      <c r="AJ236" s="272">
        <v>3354.1190000000001</v>
      </c>
      <c r="AL236" s="272">
        <v>11107.048129999999</v>
      </c>
      <c r="AM236" s="184">
        <v>-97.92</v>
      </c>
      <c r="AN236" s="272">
        <v>3764.7032799999997</v>
      </c>
      <c r="AO236" s="343">
        <v>4804</v>
      </c>
      <c r="AP236" s="332">
        <v>9.4</v>
      </c>
      <c r="AQ236" s="448"/>
      <c r="AS236" s="455">
        <v>2932.8332099999998</v>
      </c>
      <c r="AT236" s="272">
        <v>19467.988920000003</v>
      </c>
      <c r="AU236" s="450"/>
      <c r="AV236" s="334">
        <v>8177.6667800000005</v>
      </c>
      <c r="AW236" s="334">
        <v>938.91363000000001</v>
      </c>
      <c r="AX236" s="334">
        <v>2920.5143599999997</v>
      </c>
      <c r="AY236" s="334">
        <v>12037.09477</v>
      </c>
      <c r="AZ236" s="334">
        <v>6769.1210000000001</v>
      </c>
      <c r="BA236" s="272">
        <v>15.924940000000001</v>
      </c>
      <c r="BB236" s="333">
        <v>284.29237999999998</v>
      </c>
      <c r="BC236" s="272">
        <v>62.243790000000004</v>
      </c>
      <c r="BD236" s="272">
        <v>20.052169999999997</v>
      </c>
      <c r="BE236" s="334">
        <v>2044.8842400000001</v>
      </c>
      <c r="BG236" s="331">
        <v>1195.41137</v>
      </c>
      <c r="BH236" s="331">
        <v>0</v>
      </c>
      <c r="BI236" s="331">
        <v>0</v>
      </c>
      <c r="BJ236" s="334">
        <v>849.47286999999994</v>
      </c>
      <c r="BK236" s="334">
        <v>33.880369999999999</v>
      </c>
      <c r="BL236" s="331">
        <v>-257.07150000000001</v>
      </c>
      <c r="BM236" s="331">
        <v>0</v>
      </c>
      <c r="BN236" s="334">
        <v>1072.664</v>
      </c>
      <c r="BP236" s="334">
        <v>9555.0772100000013</v>
      </c>
      <c r="BQ236" s="311">
        <v>2044.8842400000001</v>
      </c>
      <c r="BR236" s="272">
        <v>0</v>
      </c>
      <c r="BS236" s="461">
        <v>-581.36663999999996</v>
      </c>
      <c r="BT236" s="272">
        <v>94.247</v>
      </c>
      <c r="BU236" s="272">
        <v>71.811000000000007</v>
      </c>
      <c r="BV236" s="333">
        <v>4435.1257100000003</v>
      </c>
      <c r="BX236" s="272">
        <v>10156.600779999999</v>
      </c>
      <c r="BY236" s="469">
        <v>-147.91999999999999</v>
      </c>
      <c r="BZ236" s="469">
        <v>-950.44735000000003</v>
      </c>
      <c r="CA236" s="552"/>
      <c r="CB236" s="335">
        <v>9.4</v>
      </c>
      <c r="CC236" s="471">
        <f t="shared" si="3"/>
        <v>9.4</v>
      </c>
      <c r="CD236" s="558"/>
      <c r="CE236" s="272"/>
      <c r="CF236" s="262"/>
      <c r="CI236" s="158">
        <v>0</v>
      </c>
      <c r="CJ236" s="331">
        <v>6321.3221717874003</v>
      </c>
      <c r="CK236" s="331">
        <v>6545.0191677756729</v>
      </c>
      <c r="CL236" s="331">
        <v>6928.2616557219317</v>
      </c>
      <c r="CM236" s="472">
        <v>7047.8830625764022</v>
      </c>
      <c r="CN236" s="472">
        <v>7150.8493968153107</v>
      </c>
      <c r="CO236" s="480">
        <v>114.572</v>
      </c>
      <c r="CP236" s="557"/>
      <c r="CQ236" s="474">
        <v>0</v>
      </c>
      <c r="CR236" s="474">
        <v>0</v>
      </c>
    </row>
    <row r="237" spans="1:96" x14ac:dyDescent="0.2">
      <c r="A237" s="154">
        <v>791</v>
      </c>
      <c r="B237" s="156" t="s">
        <v>352</v>
      </c>
      <c r="C237" s="325">
        <v>4931</v>
      </c>
      <c r="D237" s="270">
        <v>9.11</v>
      </c>
      <c r="E237" s="185"/>
      <c r="G237" s="272">
        <v>3784.2900199999999</v>
      </c>
      <c r="H237" s="272">
        <v>19228.87473</v>
      </c>
      <c r="I237" s="272"/>
      <c r="J237" s="272">
        <v>7276.9838899999995</v>
      </c>
      <c r="K237" s="272">
        <v>1425.58719</v>
      </c>
      <c r="L237" s="272">
        <v>1708.0329299999999</v>
      </c>
      <c r="M237" s="272">
        <v>10410.604009999999</v>
      </c>
      <c r="N237" s="272">
        <v>8305.2009999999991</v>
      </c>
      <c r="O237" s="272">
        <v>67.190600000000003</v>
      </c>
      <c r="P237" s="272">
        <v>357.51213999999999</v>
      </c>
      <c r="Q237" s="272">
        <v>131.70204000000001</v>
      </c>
      <c r="R237" s="272">
        <v>9.6258400000000002</v>
      </c>
      <c r="S237" s="272">
        <v>3102.97496</v>
      </c>
      <c r="U237" s="272">
        <v>1815.90068</v>
      </c>
      <c r="V237" s="272">
        <v>0</v>
      </c>
      <c r="W237" s="272">
        <v>0</v>
      </c>
      <c r="X237" s="272">
        <v>1287.07428</v>
      </c>
      <c r="Y237" s="272">
        <v>-70.522919999999999</v>
      </c>
      <c r="Z237" s="272">
        <v>0</v>
      </c>
      <c r="AA237" s="272">
        <v>0</v>
      </c>
      <c r="AB237" s="272">
        <v>1357.5971999999999</v>
      </c>
      <c r="AD237" s="272">
        <v>2759.1847499999999</v>
      </c>
      <c r="AE237" s="157">
        <v>3453.6374100000003</v>
      </c>
      <c r="AF237" s="184">
        <v>350.66245000000004</v>
      </c>
      <c r="AG237" s="272">
        <v>-1002.54696</v>
      </c>
      <c r="AH237" s="272">
        <v>8</v>
      </c>
      <c r="AI237" s="184">
        <v>117.71250000000001</v>
      </c>
      <c r="AJ237" s="272">
        <v>666.43919999999991</v>
      </c>
      <c r="AL237" s="272">
        <v>10906.991999999998</v>
      </c>
      <c r="AM237" s="184">
        <v>-120.89055</v>
      </c>
      <c r="AN237" s="272">
        <v>-1496.8979999999999</v>
      </c>
      <c r="AO237" s="343">
        <v>4938</v>
      </c>
      <c r="AP237" s="332">
        <v>9.1</v>
      </c>
      <c r="AQ237" s="448"/>
      <c r="AS237" s="455">
        <v>3745.2234199999998</v>
      </c>
      <c r="AT237" s="272">
        <v>19296.536059999999</v>
      </c>
      <c r="AU237" s="450"/>
      <c r="AV237" s="334">
        <v>7283.9107300000005</v>
      </c>
      <c r="AW237" s="334">
        <v>1374.9956100000002</v>
      </c>
      <c r="AX237" s="334">
        <v>1794.93634</v>
      </c>
      <c r="AY237" s="334">
        <v>10453.84268</v>
      </c>
      <c r="AZ237" s="334">
        <v>7118.9229999999998</v>
      </c>
      <c r="BA237" s="272">
        <v>106.47930000000001</v>
      </c>
      <c r="BB237" s="333">
        <v>416.44708000000003</v>
      </c>
      <c r="BC237" s="272">
        <v>75.728820000000013</v>
      </c>
      <c r="BD237" s="272">
        <v>37.265029999999996</v>
      </c>
      <c r="BE237" s="334">
        <v>1749.9490499999999</v>
      </c>
      <c r="BG237" s="331">
        <v>1275.6097600000001</v>
      </c>
      <c r="BH237" s="331">
        <v>0</v>
      </c>
      <c r="BI237" s="331">
        <v>0</v>
      </c>
      <c r="BJ237" s="334">
        <v>474.33929000000001</v>
      </c>
      <c r="BK237" s="334">
        <v>-121.65800999999999</v>
      </c>
      <c r="BL237" s="331">
        <v>0</v>
      </c>
      <c r="BM237" s="334">
        <v>0</v>
      </c>
      <c r="BN237" s="334">
        <v>595.9973</v>
      </c>
      <c r="BP237" s="334">
        <v>3355.1820499999999</v>
      </c>
      <c r="BQ237" s="311">
        <v>1777.1361399999998</v>
      </c>
      <c r="BR237" s="272">
        <v>27.187090000000001</v>
      </c>
      <c r="BS237" s="461">
        <v>-1409.27127</v>
      </c>
      <c r="BT237" s="272">
        <v>0</v>
      </c>
      <c r="BU237" s="272">
        <v>12.907999999999999</v>
      </c>
      <c r="BV237" s="333">
        <v>935.92995999999994</v>
      </c>
      <c r="BX237" s="272">
        <v>11410.093999999999</v>
      </c>
      <c r="BY237" s="469">
        <v>48.515730000000005</v>
      </c>
      <c r="BZ237" s="469">
        <v>503.10199999999998</v>
      </c>
      <c r="CA237" s="552"/>
      <c r="CB237" s="335">
        <v>9.3000000000000007</v>
      </c>
      <c r="CC237" s="471">
        <f t="shared" si="3"/>
        <v>9.3000000000000007</v>
      </c>
      <c r="CD237" s="558"/>
      <c r="CE237" s="272"/>
      <c r="CF237" s="262"/>
      <c r="CG237" s="260"/>
      <c r="CI237" s="158">
        <v>0</v>
      </c>
      <c r="CJ237" s="331">
        <v>7745.0736373814998</v>
      </c>
      <c r="CK237" s="331">
        <v>7576.4187746771549</v>
      </c>
      <c r="CL237" s="331">
        <v>8141.5396015705719</v>
      </c>
      <c r="CM237" s="472">
        <v>8325.9514529832813</v>
      </c>
      <c r="CN237" s="472">
        <v>8545.8860119412093</v>
      </c>
      <c r="CO237" s="480">
        <v>-116.741</v>
      </c>
      <c r="CP237" s="557"/>
      <c r="CQ237" s="474">
        <v>0</v>
      </c>
      <c r="CR237" s="474">
        <v>0</v>
      </c>
    </row>
    <row r="238" spans="1:96" x14ac:dyDescent="0.2">
      <c r="A238" s="154">
        <v>749</v>
      </c>
      <c r="B238" s="156" t="s">
        <v>261</v>
      </c>
      <c r="C238" s="325">
        <v>21290</v>
      </c>
      <c r="D238" s="270">
        <v>9.36</v>
      </c>
      <c r="E238" s="185"/>
      <c r="G238" s="272">
        <v>15797.456539999999</v>
      </c>
      <c r="H238" s="272">
        <v>78397.280239999993</v>
      </c>
      <c r="I238" s="272"/>
      <c r="J238" s="272">
        <v>46100.570490000006</v>
      </c>
      <c r="K238" s="272">
        <v>6163.1236200000003</v>
      </c>
      <c r="L238" s="272">
        <v>6766.9481900000001</v>
      </c>
      <c r="M238" s="272">
        <v>59030.6423</v>
      </c>
      <c r="N238" s="272">
        <v>11096.21</v>
      </c>
      <c r="O238" s="272">
        <v>655.33809999999994</v>
      </c>
      <c r="P238" s="272">
        <v>1037.8155200000001</v>
      </c>
      <c r="Q238" s="272">
        <v>857.03049999999996</v>
      </c>
      <c r="R238" s="272">
        <v>1.50654</v>
      </c>
      <c r="S238" s="272">
        <v>8111.2405599999993</v>
      </c>
      <c r="U238" s="272">
        <v>8560.6624300000003</v>
      </c>
      <c r="V238" s="272">
        <v>0</v>
      </c>
      <c r="W238" s="272">
        <v>0</v>
      </c>
      <c r="X238" s="272">
        <v>-449.42187000000001</v>
      </c>
      <c r="Y238" s="272">
        <v>0</v>
      </c>
      <c r="Z238" s="272">
        <v>0</v>
      </c>
      <c r="AA238" s="272">
        <v>-15.797379999999999</v>
      </c>
      <c r="AB238" s="272">
        <v>-433.62448999999998</v>
      </c>
      <c r="AD238" s="272">
        <v>3251.5458800000001</v>
      </c>
      <c r="AE238" s="157">
        <v>7892.9805999999999</v>
      </c>
      <c r="AF238" s="184">
        <v>-218.25995999999998</v>
      </c>
      <c r="AG238" s="272">
        <v>-8726.2123200000005</v>
      </c>
      <c r="AH238" s="272">
        <v>558.94302000000005</v>
      </c>
      <c r="AI238" s="184">
        <v>1169.77305</v>
      </c>
      <c r="AJ238" s="272">
        <v>5671.0946699999995</v>
      </c>
      <c r="AL238" s="272">
        <v>66702.665590000004</v>
      </c>
      <c r="AM238" s="184">
        <v>348.27058</v>
      </c>
      <c r="AN238" s="272">
        <v>-647.14476000000002</v>
      </c>
      <c r="AO238" s="343">
        <v>21269</v>
      </c>
      <c r="AP238" s="332">
        <v>9.4</v>
      </c>
      <c r="AQ238" s="448"/>
      <c r="AS238" s="455">
        <v>14801.23811</v>
      </c>
      <c r="AT238" s="272">
        <v>77693.632169999997</v>
      </c>
      <c r="AU238" s="450"/>
      <c r="AV238" s="334">
        <v>45442.43907</v>
      </c>
      <c r="AW238" s="334">
        <v>8330.2101199999997</v>
      </c>
      <c r="AX238" s="334">
        <v>6839.5775000000003</v>
      </c>
      <c r="AY238" s="334">
        <v>60612.226689999996</v>
      </c>
      <c r="AZ238" s="334">
        <v>11559.12</v>
      </c>
      <c r="BA238" s="272">
        <v>684.07084999999995</v>
      </c>
      <c r="BB238" s="333">
        <v>1511.8258899999998</v>
      </c>
      <c r="BC238" s="272">
        <v>990.00986999999998</v>
      </c>
      <c r="BD238" s="272">
        <v>55.16816</v>
      </c>
      <c r="BE238" s="334">
        <v>9477.2093999999997</v>
      </c>
      <c r="BG238" s="331">
        <v>7812.55483</v>
      </c>
      <c r="BH238" s="331">
        <v>0</v>
      </c>
      <c r="BI238" s="331">
        <v>0</v>
      </c>
      <c r="BJ238" s="334">
        <v>1664.6545700000001</v>
      </c>
      <c r="BK238" s="331">
        <v>0</v>
      </c>
      <c r="BL238" s="331">
        <v>0</v>
      </c>
      <c r="BM238" s="331">
        <v>0</v>
      </c>
      <c r="BN238" s="334">
        <v>1664.6545700000001</v>
      </c>
      <c r="BP238" s="334">
        <v>4916.2004500000003</v>
      </c>
      <c r="BQ238" s="311">
        <v>9708.2400399999988</v>
      </c>
      <c r="BR238" s="272">
        <v>231.03064000000001</v>
      </c>
      <c r="BS238" s="461">
        <v>-8169.9255400000002</v>
      </c>
      <c r="BT238" s="272">
        <v>642.27638999999999</v>
      </c>
      <c r="BU238" s="272">
        <v>635.33181999999999</v>
      </c>
      <c r="BV238" s="333">
        <v>8401.5041099999999</v>
      </c>
      <c r="BX238" s="272">
        <v>66185.008960000006</v>
      </c>
      <c r="BY238" s="469">
        <v>315.46762000000001</v>
      </c>
      <c r="BZ238" s="469">
        <v>-517.65662999999995</v>
      </c>
      <c r="CA238" s="552"/>
      <c r="CB238" s="335">
        <v>9.4</v>
      </c>
      <c r="CC238" s="471">
        <f t="shared" si="3"/>
        <v>9.4</v>
      </c>
      <c r="CD238" s="558"/>
      <c r="CE238" s="272"/>
      <c r="CF238" s="262"/>
      <c r="CI238" s="158">
        <v>0</v>
      </c>
      <c r="CJ238" s="331">
        <v>11038.724120248067</v>
      </c>
      <c r="CK238" s="331">
        <v>8687.9673583080639</v>
      </c>
      <c r="CL238" s="331">
        <v>10672.412495745639</v>
      </c>
      <c r="CM238" s="472">
        <v>11821.999989458329</v>
      </c>
      <c r="CN238" s="472">
        <v>11698.265055866237</v>
      </c>
      <c r="CO238" s="480">
        <v>-1536.1849999999999</v>
      </c>
      <c r="CP238" s="557"/>
      <c r="CQ238" s="474">
        <v>111.16542</v>
      </c>
      <c r="CR238" s="474">
        <v>91.170100000000005</v>
      </c>
    </row>
    <row r="239" spans="1:96" x14ac:dyDescent="0.2">
      <c r="A239" s="154">
        <v>751</v>
      </c>
      <c r="B239" s="156" t="s">
        <v>262</v>
      </c>
      <c r="C239" s="325">
        <v>2828</v>
      </c>
      <c r="D239" s="270">
        <v>9.36</v>
      </c>
      <c r="E239" s="185"/>
      <c r="G239" s="272">
        <v>2770.9319999999998</v>
      </c>
      <c r="H239" s="272">
        <v>11056.998240000001</v>
      </c>
      <c r="I239" s="272"/>
      <c r="J239" s="272">
        <v>5934.9637599999996</v>
      </c>
      <c r="K239" s="272">
        <v>328.66909999999996</v>
      </c>
      <c r="L239" s="272">
        <v>2379.51712</v>
      </c>
      <c r="M239" s="272">
        <v>8643.1499800000001</v>
      </c>
      <c r="N239" s="272">
        <v>3117.6909999999998</v>
      </c>
      <c r="O239" s="272">
        <v>36.038760000000003</v>
      </c>
      <c r="P239" s="272">
        <v>41.772760000000005</v>
      </c>
      <c r="Q239" s="272">
        <v>43.918279999999996</v>
      </c>
      <c r="R239" s="272">
        <v>4.3004700000000007</v>
      </c>
      <c r="S239" s="272">
        <v>3508.6585499999997</v>
      </c>
      <c r="U239" s="272">
        <v>1219.95568</v>
      </c>
      <c r="V239" s="272">
        <v>118.7303</v>
      </c>
      <c r="W239" s="272">
        <v>0</v>
      </c>
      <c r="X239" s="272">
        <v>2407.4331699999998</v>
      </c>
      <c r="Y239" s="272">
        <v>0</v>
      </c>
      <c r="Z239" s="272">
        <v>0</v>
      </c>
      <c r="AA239" s="272">
        <v>0</v>
      </c>
      <c r="AB239" s="272">
        <v>2407.4331699999998</v>
      </c>
      <c r="AD239" s="272">
        <v>7429.4050000000007</v>
      </c>
      <c r="AE239" s="157">
        <v>4435.9877000000006</v>
      </c>
      <c r="AF239" s="184">
        <v>808.59884999999997</v>
      </c>
      <c r="AG239" s="272">
        <v>-2414.8850400000001</v>
      </c>
      <c r="AH239" s="272">
        <v>103.91405</v>
      </c>
      <c r="AI239" s="184">
        <v>291.86900000000003</v>
      </c>
      <c r="AJ239" s="272">
        <v>3533.49836</v>
      </c>
      <c r="AL239" s="272">
        <v>3414.3719999999998</v>
      </c>
      <c r="AM239" s="184">
        <v>128.02619000000001</v>
      </c>
      <c r="AN239" s="272">
        <v>-797.62800000000004</v>
      </c>
      <c r="AO239" s="343">
        <v>2778</v>
      </c>
      <c r="AP239" s="332">
        <v>9.4</v>
      </c>
      <c r="AQ239" s="448"/>
      <c r="AS239" s="455">
        <v>2448.60518</v>
      </c>
      <c r="AT239" s="272">
        <v>11364.75958</v>
      </c>
      <c r="AU239" s="450"/>
      <c r="AV239" s="334">
        <v>5629.6217900000001</v>
      </c>
      <c r="AW239" s="334">
        <v>296.65978000000001</v>
      </c>
      <c r="AX239" s="334">
        <v>2361.4942900000001</v>
      </c>
      <c r="AY239" s="334">
        <v>8287.7758599999997</v>
      </c>
      <c r="AZ239" s="334">
        <v>3154.1089999999999</v>
      </c>
      <c r="BA239" s="272">
        <v>45.43562</v>
      </c>
      <c r="BB239" s="333">
        <v>40.578989999999997</v>
      </c>
      <c r="BC239" s="272">
        <v>10.007070000000001</v>
      </c>
      <c r="BD239" s="272">
        <v>7.0679999999999996</v>
      </c>
      <c r="BE239" s="334">
        <v>2533.5261600000003</v>
      </c>
      <c r="BG239" s="331">
        <v>1137.6732299999999</v>
      </c>
      <c r="BH239" s="331">
        <v>0</v>
      </c>
      <c r="BI239" s="331">
        <v>0</v>
      </c>
      <c r="BJ239" s="334">
        <v>1395.85293</v>
      </c>
      <c r="BK239" s="331">
        <v>0</v>
      </c>
      <c r="BL239" s="331">
        <v>0</v>
      </c>
      <c r="BM239" s="331">
        <v>0</v>
      </c>
      <c r="BN239" s="334">
        <v>1395.85293</v>
      </c>
      <c r="BP239" s="334">
        <v>8010.1842399999996</v>
      </c>
      <c r="BQ239" s="311">
        <v>2381.83113</v>
      </c>
      <c r="BR239" s="272">
        <v>-151.69503</v>
      </c>
      <c r="BS239" s="461">
        <v>-6336.5543299999999</v>
      </c>
      <c r="BT239" s="272">
        <v>319.40222</v>
      </c>
      <c r="BU239" s="272">
        <v>175.25</v>
      </c>
      <c r="BV239" s="333">
        <v>2273.0018500000001</v>
      </c>
      <c r="BX239" s="272">
        <v>4680.45</v>
      </c>
      <c r="BY239" s="469">
        <v>12.83624</v>
      </c>
      <c r="BZ239" s="469">
        <v>1266.078</v>
      </c>
      <c r="CA239" s="552"/>
      <c r="CB239" s="335">
        <v>9.4</v>
      </c>
      <c r="CC239" s="471">
        <f t="shared" si="3"/>
        <v>9.4</v>
      </c>
      <c r="CD239" s="558"/>
      <c r="CE239" s="272"/>
      <c r="CF239" s="262"/>
      <c r="CI239" s="158">
        <v>0</v>
      </c>
      <c r="CJ239" s="331">
        <v>3496.0085856324863</v>
      </c>
      <c r="CK239" s="331">
        <v>3302.6423461942231</v>
      </c>
      <c r="CL239" s="331">
        <v>3473.191298699428</v>
      </c>
      <c r="CM239" s="472">
        <v>3661.128553882405</v>
      </c>
      <c r="CN239" s="472">
        <v>3732.8774676132798</v>
      </c>
      <c r="CO239" s="480">
        <v>259.12</v>
      </c>
      <c r="CP239" s="557"/>
      <c r="CQ239" s="474">
        <v>0</v>
      </c>
      <c r="CR239" s="474">
        <v>0</v>
      </c>
    </row>
    <row r="240" spans="1:96" x14ac:dyDescent="0.2">
      <c r="A240" s="154">
        <v>753</v>
      </c>
      <c r="B240" s="156" t="s">
        <v>263</v>
      </c>
      <c r="C240" s="325">
        <v>22595</v>
      </c>
      <c r="D240" s="270">
        <v>6.61</v>
      </c>
      <c r="E240" s="185"/>
      <c r="G240" s="272">
        <v>19074.986230000002</v>
      </c>
      <c r="H240" s="272">
        <v>83813.377529999998</v>
      </c>
      <c r="I240" s="272"/>
      <c r="J240" s="272">
        <v>44787.613659999995</v>
      </c>
      <c r="K240" s="272">
        <v>5981.02862</v>
      </c>
      <c r="L240" s="272">
        <v>11624.089250000001</v>
      </c>
      <c r="M240" s="272">
        <v>62392.731530000005</v>
      </c>
      <c r="N240" s="272">
        <v>22093.094000000001</v>
      </c>
      <c r="O240" s="272">
        <v>0.88479999999999992</v>
      </c>
      <c r="P240" s="272">
        <v>1156.7030099999999</v>
      </c>
      <c r="Q240" s="272">
        <v>151.58023</v>
      </c>
      <c r="R240" s="272">
        <v>11.19994</v>
      </c>
      <c r="S240" s="272">
        <v>18739.2094</v>
      </c>
      <c r="U240" s="272">
        <v>14909.535230000001</v>
      </c>
      <c r="V240" s="272">
        <v>0</v>
      </c>
      <c r="W240" s="272">
        <v>0</v>
      </c>
      <c r="X240" s="272">
        <v>3829.6741699999998</v>
      </c>
      <c r="Y240" s="272">
        <v>1116.6403600000001</v>
      </c>
      <c r="Z240" s="272">
        <v>-3050</v>
      </c>
      <c r="AA240" s="272">
        <v>0</v>
      </c>
      <c r="AB240" s="272">
        <v>5763.0338099999999</v>
      </c>
      <c r="AD240" s="272">
        <v>43004.438289999998</v>
      </c>
      <c r="AE240" s="157">
        <v>14762.23956</v>
      </c>
      <c r="AF240" s="184">
        <v>-3976.9698399999997</v>
      </c>
      <c r="AG240" s="272">
        <v>-15952.136869999998</v>
      </c>
      <c r="AH240" s="272">
        <v>0</v>
      </c>
      <c r="AI240" s="184">
        <v>4346.8649999999998</v>
      </c>
      <c r="AJ240" s="272">
        <v>3633.6679700000004</v>
      </c>
      <c r="AL240" s="272">
        <v>101331.42875000001</v>
      </c>
      <c r="AM240" s="184">
        <v>0.6</v>
      </c>
      <c r="AN240" s="272">
        <v>-5897.3567000000003</v>
      </c>
      <c r="AO240" s="343">
        <v>22826</v>
      </c>
      <c r="AP240" s="332">
        <v>6.6000000000000005</v>
      </c>
      <c r="AQ240" s="448"/>
      <c r="AS240" s="455">
        <v>16931.78686</v>
      </c>
      <c r="AT240" s="272">
        <v>86844.609459999992</v>
      </c>
      <c r="AU240" s="450"/>
      <c r="AV240" s="334">
        <v>42659.024740000001</v>
      </c>
      <c r="AW240" s="334">
        <v>4748.84537</v>
      </c>
      <c r="AX240" s="334">
        <v>13180.259910000001</v>
      </c>
      <c r="AY240" s="334">
        <v>60588.130020000004</v>
      </c>
      <c r="AZ240" s="334">
        <v>22075.583999999999</v>
      </c>
      <c r="BA240" s="272">
        <v>192.94140999999999</v>
      </c>
      <c r="BB240" s="333">
        <v>1889.4967199999999</v>
      </c>
      <c r="BC240" s="272">
        <v>152.38077999999999</v>
      </c>
      <c r="BD240" s="272">
        <v>11.988040000000002</v>
      </c>
      <c r="BE240" s="334">
        <v>11195.878849999999</v>
      </c>
      <c r="BG240" s="331">
        <v>10729.344160000001</v>
      </c>
      <c r="BH240" s="331">
        <v>0</v>
      </c>
      <c r="BI240" s="331">
        <v>0</v>
      </c>
      <c r="BJ240" s="334">
        <v>466.53469000000001</v>
      </c>
      <c r="BK240" s="331">
        <v>-1781.4817499999999</v>
      </c>
      <c r="BL240" s="331">
        <v>0</v>
      </c>
      <c r="BM240" s="334">
        <v>0</v>
      </c>
      <c r="BN240" s="334">
        <v>2248.0164399999999</v>
      </c>
      <c r="BP240" s="334">
        <v>45252.454729999998</v>
      </c>
      <c r="BQ240" s="311">
        <v>9427.2920999999988</v>
      </c>
      <c r="BR240" s="272">
        <v>-1768.5867499999999</v>
      </c>
      <c r="BS240" s="461">
        <v>-18703.7798</v>
      </c>
      <c r="BT240" s="272">
        <v>0</v>
      </c>
      <c r="BU240" s="272">
        <v>1988.25404</v>
      </c>
      <c r="BV240" s="333">
        <v>8042.3417499999996</v>
      </c>
      <c r="BX240" s="272">
        <v>112535.51963999998</v>
      </c>
      <c r="BY240" s="469">
        <v>0.35599000000000003</v>
      </c>
      <c r="BZ240" s="469">
        <v>11204.090890000001</v>
      </c>
      <c r="CA240" s="552"/>
      <c r="CB240" s="335">
        <v>6.6000000000000005</v>
      </c>
      <c r="CC240" s="471">
        <f t="shared" si="3"/>
        <v>6.6000000000000005</v>
      </c>
      <c r="CD240" s="558"/>
      <c r="CE240" s="272"/>
      <c r="CF240" s="262"/>
      <c r="CI240" s="158">
        <v>0</v>
      </c>
      <c r="CJ240" s="331">
        <v>22802.346534198001</v>
      </c>
      <c r="CK240" s="331">
        <v>22427.041441231879</v>
      </c>
      <c r="CL240" s="331">
        <v>23089.128761870892</v>
      </c>
      <c r="CM240" s="472">
        <v>24485.014555045556</v>
      </c>
      <c r="CN240" s="472">
        <v>24527.72273721992</v>
      </c>
      <c r="CO240" s="480">
        <v>-1989.25</v>
      </c>
      <c r="CP240" s="557"/>
      <c r="CQ240" s="474">
        <v>7.2130900000000002</v>
      </c>
      <c r="CR240" s="474">
        <v>1.1499999999999999</v>
      </c>
    </row>
    <row r="241" spans="1:96" x14ac:dyDescent="0.2">
      <c r="A241" s="154">
        <v>755</v>
      </c>
      <c r="B241" s="156" t="s">
        <v>264</v>
      </c>
      <c r="C241" s="325">
        <v>6158</v>
      </c>
      <c r="D241" s="270">
        <v>8.61</v>
      </c>
      <c r="E241" s="185"/>
      <c r="G241" s="272">
        <v>4691.66957</v>
      </c>
      <c r="H241" s="272">
        <v>23363.98043</v>
      </c>
      <c r="I241" s="272"/>
      <c r="J241" s="272">
        <v>15076.984210000001</v>
      </c>
      <c r="K241" s="272">
        <v>781.82057999999995</v>
      </c>
      <c r="L241" s="272">
        <v>2579.9890800000003</v>
      </c>
      <c r="M241" s="272">
        <v>18438.793870000001</v>
      </c>
      <c r="N241" s="272">
        <v>4038.2919999999999</v>
      </c>
      <c r="O241" s="272">
        <v>0.24301</v>
      </c>
      <c r="P241" s="272">
        <v>426.65249999999997</v>
      </c>
      <c r="Q241" s="272">
        <v>29.00264</v>
      </c>
      <c r="R241" s="272">
        <v>20.386389999999999</v>
      </c>
      <c r="S241" s="272">
        <v>3498.09557</v>
      </c>
      <c r="U241" s="272">
        <v>3089.7050199999999</v>
      </c>
      <c r="V241" s="272">
        <v>0</v>
      </c>
      <c r="W241" s="272">
        <v>0</v>
      </c>
      <c r="X241" s="272">
        <v>408.39054999999996</v>
      </c>
      <c r="Y241" s="272">
        <v>0</v>
      </c>
      <c r="Z241" s="272">
        <v>0</v>
      </c>
      <c r="AA241" s="272">
        <v>0</v>
      </c>
      <c r="AB241" s="272">
        <v>408.39054999999996</v>
      </c>
      <c r="AD241" s="272">
        <v>5448.7024699999993</v>
      </c>
      <c r="AE241" s="157">
        <v>3194.6828500000001</v>
      </c>
      <c r="AF241" s="184">
        <v>-303.27992</v>
      </c>
      <c r="AG241" s="272">
        <v>-3622.8760200000002</v>
      </c>
      <c r="AH241" s="272">
        <v>0</v>
      </c>
      <c r="AI241" s="184">
        <v>360.89</v>
      </c>
      <c r="AJ241" s="272">
        <v>262.49178000000001</v>
      </c>
      <c r="AL241" s="272">
        <v>23550</v>
      </c>
      <c r="AM241" s="184">
        <v>0</v>
      </c>
      <c r="AN241" s="272">
        <v>2651.7729399999998</v>
      </c>
      <c r="AO241" s="343">
        <v>6182</v>
      </c>
      <c r="AP241" s="332">
        <v>8.6</v>
      </c>
      <c r="AQ241" s="448"/>
      <c r="AS241" s="455">
        <v>4839.4522100000004</v>
      </c>
      <c r="AT241" s="272">
        <v>24750.680359999998</v>
      </c>
      <c r="AU241" s="450"/>
      <c r="AV241" s="334">
        <v>14354.1459</v>
      </c>
      <c r="AW241" s="334">
        <v>547.69628</v>
      </c>
      <c r="AX241" s="334">
        <v>2590.43552</v>
      </c>
      <c r="AY241" s="334">
        <v>17492.277699999999</v>
      </c>
      <c r="AZ241" s="334">
        <v>4228.5901800000001</v>
      </c>
      <c r="BA241" s="272">
        <v>0</v>
      </c>
      <c r="BB241" s="333">
        <v>626.33318000000008</v>
      </c>
      <c r="BC241" s="272">
        <v>31.922720000000002</v>
      </c>
      <c r="BD241" s="272">
        <v>15.189350000000001</v>
      </c>
      <c r="BE241" s="334">
        <v>1384.9527</v>
      </c>
      <c r="BG241" s="331">
        <v>2124.0688500000001</v>
      </c>
      <c r="BH241" s="331">
        <v>0</v>
      </c>
      <c r="BI241" s="331">
        <v>0</v>
      </c>
      <c r="BJ241" s="334">
        <v>-739.11615000000006</v>
      </c>
      <c r="BK241" s="331">
        <v>0</v>
      </c>
      <c r="BL241" s="331">
        <v>0</v>
      </c>
      <c r="BM241" s="331">
        <v>0</v>
      </c>
      <c r="BN241" s="334">
        <v>-739.11615000000006</v>
      </c>
      <c r="BP241" s="334">
        <v>4977.4257200000002</v>
      </c>
      <c r="BQ241" s="311">
        <v>1329.511</v>
      </c>
      <c r="BR241" s="272">
        <v>-55.441699999999997</v>
      </c>
      <c r="BS241" s="461">
        <v>-3442.1407400000003</v>
      </c>
      <c r="BT241" s="272">
        <v>32</v>
      </c>
      <c r="BU241" s="272">
        <v>71.740679999999998</v>
      </c>
      <c r="BV241" s="333">
        <v>411.76497999999998</v>
      </c>
      <c r="BX241" s="272">
        <v>26300</v>
      </c>
      <c r="BY241" s="469">
        <v>0</v>
      </c>
      <c r="BZ241" s="469">
        <v>2750</v>
      </c>
      <c r="CA241" s="552"/>
      <c r="CB241" s="335">
        <v>8.6</v>
      </c>
      <c r="CC241" s="471">
        <f t="shared" si="3"/>
        <v>8.6</v>
      </c>
      <c r="CD241" s="558"/>
      <c r="CE241" s="272"/>
      <c r="CF241" s="262"/>
      <c r="CI241" s="158">
        <v>0</v>
      </c>
      <c r="CJ241" s="331">
        <v>4178.4467882025474</v>
      </c>
      <c r="CK241" s="331">
        <v>4052.0337046874315</v>
      </c>
      <c r="CL241" s="331">
        <v>3551.6228264199813</v>
      </c>
      <c r="CM241" s="472">
        <v>3624.5328205185347</v>
      </c>
      <c r="CN241" s="472">
        <v>3633.9984551664152</v>
      </c>
      <c r="CO241" s="480">
        <v>-1615.011</v>
      </c>
      <c r="CP241" s="557"/>
      <c r="CQ241" s="474">
        <v>111.1138</v>
      </c>
      <c r="CR241" s="474">
        <v>184.91278</v>
      </c>
    </row>
    <row r="242" spans="1:96" x14ac:dyDescent="0.2">
      <c r="A242" s="154">
        <v>758</v>
      </c>
      <c r="B242" s="156" t="s">
        <v>265</v>
      </c>
      <c r="C242" s="325">
        <v>8126</v>
      </c>
      <c r="D242" s="270">
        <v>8.36</v>
      </c>
      <c r="E242" s="185"/>
      <c r="G242" s="272">
        <v>8320.4989700000006</v>
      </c>
      <c r="H242" s="272">
        <v>34148.820619999999</v>
      </c>
      <c r="I242" s="272"/>
      <c r="J242" s="272">
        <v>15651.63984</v>
      </c>
      <c r="K242" s="272">
        <v>4997.2366099999999</v>
      </c>
      <c r="L242" s="272">
        <v>8404.9470199999996</v>
      </c>
      <c r="M242" s="272">
        <v>29053.823469999999</v>
      </c>
      <c r="N242" s="272">
        <v>2505.27</v>
      </c>
      <c r="O242" s="272">
        <v>326.18615</v>
      </c>
      <c r="P242" s="272">
        <v>-706.72498999999993</v>
      </c>
      <c r="Q242" s="272">
        <v>3587.0048999999999</v>
      </c>
      <c r="R242" s="272">
        <v>3.3352199999999996</v>
      </c>
      <c r="S242" s="272">
        <v>10347.352640000001</v>
      </c>
      <c r="U242" s="272">
        <v>2911.1337699999999</v>
      </c>
      <c r="V242" s="272">
        <v>0</v>
      </c>
      <c r="W242" s="272">
        <v>0</v>
      </c>
      <c r="X242" s="272">
        <v>7436.2188699999997</v>
      </c>
      <c r="Y242" s="272">
        <v>-37.972790000000003</v>
      </c>
      <c r="Z242" s="272">
        <v>0</v>
      </c>
      <c r="AA242" s="272">
        <v>726.05597</v>
      </c>
      <c r="AB242" s="272">
        <v>6748.1356900000001</v>
      </c>
      <c r="AD242" s="272">
        <v>18999.86477</v>
      </c>
      <c r="AE242" s="157">
        <v>10518.373820000001</v>
      </c>
      <c r="AF242" s="184">
        <v>171.02117999999999</v>
      </c>
      <c r="AG242" s="272">
        <v>-5191.4470700000002</v>
      </c>
      <c r="AH242" s="272">
        <v>215</v>
      </c>
      <c r="AI242" s="184">
        <v>47.925609999999999</v>
      </c>
      <c r="AJ242" s="272">
        <v>9953.0522799999999</v>
      </c>
      <c r="AL242" s="272">
        <v>22369.561060000004</v>
      </c>
      <c r="AM242" s="184">
        <v>515.38517999999999</v>
      </c>
      <c r="AN242" s="272">
        <v>-2512.6202699999999</v>
      </c>
      <c r="AO242" s="343">
        <v>8127</v>
      </c>
      <c r="AP242" s="332">
        <v>8</v>
      </c>
      <c r="AQ242" s="448"/>
      <c r="AS242" s="455">
        <v>9218.5376799999995</v>
      </c>
      <c r="AT242" s="272">
        <v>35679.495069999997</v>
      </c>
      <c r="AU242" s="450"/>
      <c r="AV242" s="334">
        <v>14429.11181</v>
      </c>
      <c r="AW242" s="334">
        <v>7966.6983700000001</v>
      </c>
      <c r="AX242" s="334">
        <v>8785.861359999999</v>
      </c>
      <c r="AY242" s="334">
        <v>31181.671539999999</v>
      </c>
      <c r="AZ242" s="334">
        <v>5773.3950000000004</v>
      </c>
      <c r="BA242" s="272">
        <v>309.72878000000003</v>
      </c>
      <c r="BB242" s="333">
        <v>-1046.89975</v>
      </c>
      <c r="BC242" s="272">
        <v>3672.2907599999999</v>
      </c>
      <c r="BD242" s="272">
        <v>8.0938499999999998</v>
      </c>
      <c r="BE242" s="334">
        <v>15514.934590000001</v>
      </c>
      <c r="BG242" s="331">
        <v>3161.2616899999998</v>
      </c>
      <c r="BH242" s="331">
        <v>0</v>
      </c>
      <c r="BI242" s="331">
        <v>0</v>
      </c>
      <c r="BJ242" s="334">
        <v>12353.6729</v>
      </c>
      <c r="BK242" s="331">
        <v>-37.851819999999996</v>
      </c>
      <c r="BL242" s="334">
        <v>0</v>
      </c>
      <c r="BM242" s="331">
        <v>1269.2735700000001</v>
      </c>
      <c r="BN242" s="334">
        <v>11122.25115</v>
      </c>
      <c r="BP242" s="334">
        <v>30122.11592</v>
      </c>
      <c r="BQ242" s="311">
        <v>15381.96911</v>
      </c>
      <c r="BR242" s="272">
        <v>-132.96548000000001</v>
      </c>
      <c r="BS242" s="461">
        <v>-5923.8024000000005</v>
      </c>
      <c r="BT242" s="272">
        <v>38.047280000000001</v>
      </c>
      <c r="BU242" s="272">
        <v>272.29773</v>
      </c>
      <c r="BV242" s="333">
        <v>19177.825560000001</v>
      </c>
      <c r="BX242" s="272">
        <v>24501.61075</v>
      </c>
      <c r="BY242" s="469">
        <v>-4072.7970399999999</v>
      </c>
      <c r="BZ242" s="469">
        <v>2132.0496899999998</v>
      </c>
      <c r="CA242" s="552"/>
      <c r="CB242" s="335">
        <v>8</v>
      </c>
      <c r="CC242" s="471">
        <f t="shared" si="3"/>
        <v>8</v>
      </c>
      <c r="CD242" s="558"/>
      <c r="CE242" s="272"/>
      <c r="CF242" s="262"/>
      <c r="CI242" s="158">
        <v>0</v>
      </c>
      <c r="CJ242" s="331">
        <v>5616.7263800646833</v>
      </c>
      <c r="CK242" s="331">
        <v>5632.7008451512838</v>
      </c>
      <c r="CL242" s="331">
        <v>6274.3347272882638</v>
      </c>
      <c r="CM242" s="472">
        <v>6845.4960458756796</v>
      </c>
      <c r="CN242" s="472">
        <v>6945.273162142309</v>
      </c>
      <c r="CO242" s="480">
        <v>-671.75</v>
      </c>
      <c r="CP242" s="557"/>
      <c r="CQ242" s="474">
        <v>0</v>
      </c>
      <c r="CR242" s="474">
        <v>0</v>
      </c>
    </row>
    <row r="243" spans="1:96" x14ac:dyDescent="0.2">
      <c r="A243" s="154">
        <v>759</v>
      </c>
      <c r="B243" s="156" t="s">
        <v>266</v>
      </c>
      <c r="C243" s="325">
        <v>1873</v>
      </c>
      <c r="D243" s="270">
        <v>9.11</v>
      </c>
      <c r="E243" s="185"/>
      <c r="G243" s="272">
        <v>2681.7519199999997</v>
      </c>
      <c r="H243" s="272">
        <v>7780.8486600000006</v>
      </c>
      <c r="I243" s="272"/>
      <c r="J243" s="272">
        <v>2581.6884300000002</v>
      </c>
      <c r="K243" s="272">
        <v>1076.65347</v>
      </c>
      <c r="L243" s="272">
        <v>1149.4328500000001</v>
      </c>
      <c r="M243" s="272">
        <v>4807.7747499999996</v>
      </c>
      <c r="N243" s="272">
        <v>2135.527</v>
      </c>
      <c r="O243" s="272">
        <v>7.9453399999999998</v>
      </c>
      <c r="P243" s="272">
        <v>122.23416</v>
      </c>
      <c r="Q243" s="272">
        <v>44.564149999999998</v>
      </c>
      <c r="R243" s="272">
        <v>41.763599999999997</v>
      </c>
      <c r="S243" s="272">
        <v>1732.7167400000001</v>
      </c>
      <c r="U243" s="272">
        <v>530.46384</v>
      </c>
      <c r="V243" s="272">
        <v>32.316939999999995</v>
      </c>
      <c r="W243" s="272">
        <v>0</v>
      </c>
      <c r="X243" s="272">
        <v>1234.5698400000001</v>
      </c>
      <c r="Y243" s="272">
        <v>0</v>
      </c>
      <c r="Z243" s="272">
        <v>0</v>
      </c>
      <c r="AA243" s="272">
        <v>0</v>
      </c>
      <c r="AB243" s="272">
        <v>1234.5698400000001</v>
      </c>
      <c r="AD243" s="272">
        <v>5707.0236300000006</v>
      </c>
      <c r="AE243" s="157">
        <v>1752.7965200000001</v>
      </c>
      <c r="AF243" s="184">
        <v>-12.237159999999999</v>
      </c>
      <c r="AG243" s="272">
        <v>-572.67150000000004</v>
      </c>
      <c r="AH243" s="272">
        <v>4.5</v>
      </c>
      <c r="AI243" s="184">
        <v>18.4621</v>
      </c>
      <c r="AJ243" s="272">
        <v>2007.16842</v>
      </c>
      <c r="AL243" s="272">
        <v>5571.28352</v>
      </c>
      <c r="AM243" s="184">
        <v>14.857379999999999</v>
      </c>
      <c r="AN243" s="272">
        <v>-1041.80448</v>
      </c>
      <c r="AO243" s="343">
        <v>1800</v>
      </c>
      <c r="AP243" s="332">
        <v>9.1000000000000014</v>
      </c>
      <c r="AQ243" s="448"/>
      <c r="AS243" s="455">
        <v>2829.7738899999999</v>
      </c>
      <c r="AT243" s="272">
        <v>7616.2991199999997</v>
      </c>
      <c r="AU243" s="450"/>
      <c r="AV243" s="334">
        <v>2565.6612599999999</v>
      </c>
      <c r="AW243" s="334">
        <v>1047.2633900000001</v>
      </c>
      <c r="AX243" s="334">
        <v>1239.4848999999999</v>
      </c>
      <c r="AY243" s="334">
        <v>4852.4095499999994</v>
      </c>
      <c r="AZ243" s="334">
        <v>1766.7739999999999</v>
      </c>
      <c r="BA243" s="272">
        <v>8.6027999999999984</v>
      </c>
      <c r="BB243" s="333">
        <v>126.4863</v>
      </c>
      <c r="BC243" s="272">
        <v>30.39095</v>
      </c>
      <c r="BD243" s="272">
        <v>0.25241999999999998</v>
      </c>
      <c r="BE243" s="334">
        <v>1744.91335</v>
      </c>
      <c r="BG243" s="331">
        <v>712.74682999999993</v>
      </c>
      <c r="BH243" s="334">
        <v>0</v>
      </c>
      <c r="BI243" s="331">
        <v>0</v>
      </c>
      <c r="BJ243" s="334">
        <v>1032.16652</v>
      </c>
      <c r="BK243" s="331">
        <v>0</v>
      </c>
      <c r="BL243" s="331">
        <v>0</v>
      </c>
      <c r="BM243" s="331">
        <v>0</v>
      </c>
      <c r="BN243" s="334">
        <v>1032.16652</v>
      </c>
      <c r="BP243" s="334">
        <v>6778.458529999999</v>
      </c>
      <c r="BQ243" s="311">
        <v>1689.8328799999999</v>
      </c>
      <c r="BR243" s="272">
        <v>-55.080469999999998</v>
      </c>
      <c r="BS243" s="461">
        <v>-604.47278000000006</v>
      </c>
      <c r="BT243" s="272">
        <v>0</v>
      </c>
      <c r="BU243" s="272">
        <v>195.69635</v>
      </c>
      <c r="BV243" s="333">
        <v>1551.20569</v>
      </c>
      <c r="BX243" s="272">
        <v>4564.0770400000001</v>
      </c>
      <c r="BY243" s="469">
        <v>-27.578499999999998</v>
      </c>
      <c r="BZ243" s="469">
        <v>-1007.2064799999999</v>
      </c>
      <c r="CA243" s="552"/>
      <c r="CB243" s="335">
        <v>9.1000000000000014</v>
      </c>
      <c r="CC243" s="471">
        <f t="shared" si="3"/>
        <v>9.1000000000000014</v>
      </c>
      <c r="CD243" s="558"/>
      <c r="CE243" s="272"/>
      <c r="CF243" s="262"/>
      <c r="CG243" s="260"/>
      <c r="CI243" s="158">
        <v>330</v>
      </c>
      <c r="CJ243" s="331">
        <v>1680.1941673868098</v>
      </c>
      <c r="CK243" s="331">
        <v>1656.6682149748201</v>
      </c>
      <c r="CL243" s="331">
        <v>1875.1647988902248</v>
      </c>
      <c r="CM243" s="472">
        <v>2141.2062117852083</v>
      </c>
      <c r="CN243" s="472">
        <v>2066.1047356598528</v>
      </c>
      <c r="CO243" s="480">
        <v>-498.24700000000001</v>
      </c>
      <c r="CP243" s="557"/>
      <c r="CQ243" s="474">
        <v>0</v>
      </c>
      <c r="CR243" s="474">
        <v>0</v>
      </c>
    </row>
    <row r="244" spans="1:96" x14ac:dyDescent="0.2">
      <c r="A244" s="154">
        <v>761</v>
      </c>
      <c r="B244" s="156" t="s">
        <v>267</v>
      </c>
      <c r="C244" s="325">
        <v>8410</v>
      </c>
      <c r="D244" s="270">
        <v>7.86</v>
      </c>
      <c r="E244" s="185"/>
      <c r="G244" s="272">
        <v>7152.5698700000003</v>
      </c>
      <c r="H244" s="272">
        <v>28752.689489999997</v>
      </c>
      <c r="I244" s="272"/>
      <c r="J244" s="272">
        <v>13000.607609999999</v>
      </c>
      <c r="K244" s="272">
        <v>1452.4884199999999</v>
      </c>
      <c r="L244" s="272">
        <v>1936.74648</v>
      </c>
      <c r="M244" s="272">
        <v>16389.842509999999</v>
      </c>
      <c r="N244" s="272">
        <v>10636.527</v>
      </c>
      <c r="O244" s="272">
        <v>1.3694999999999999</v>
      </c>
      <c r="P244" s="272">
        <v>374.81885999999997</v>
      </c>
      <c r="Q244" s="272">
        <v>154.35648</v>
      </c>
      <c r="R244" s="272">
        <v>13.61309</v>
      </c>
      <c r="S244" s="272">
        <v>5193.5439200000001</v>
      </c>
      <c r="U244" s="272">
        <v>2864.5984800000001</v>
      </c>
      <c r="V244" s="272">
        <v>0</v>
      </c>
      <c r="W244" s="272">
        <v>0</v>
      </c>
      <c r="X244" s="272">
        <v>2328.94544</v>
      </c>
      <c r="Y244" s="272">
        <v>0</v>
      </c>
      <c r="Z244" s="272">
        <v>0</v>
      </c>
      <c r="AA244" s="272">
        <v>0</v>
      </c>
      <c r="AB244" s="272">
        <v>2328.94544</v>
      </c>
      <c r="AD244" s="272">
        <v>36699.084580000002</v>
      </c>
      <c r="AE244" s="157">
        <v>5561.1127400000005</v>
      </c>
      <c r="AF244" s="184">
        <v>367.56882000000002</v>
      </c>
      <c r="AG244" s="272">
        <v>-8833.7564700000003</v>
      </c>
      <c r="AH244" s="272">
        <v>2609.94902</v>
      </c>
      <c r="AI244" s="184">
        <v>23.207939999999997</v>
      </c>
      <c r="AJ244" s="272">
        <v>4210.7282300000006</v>
      </c>
      <c r="AL244" s="272">
        <v>12735.43584</v>
      </c>
      <c r="AM244" s="184">
        <v>-71.987100000000012</v>
      </c>
      <c r="AN244" s="272">
        <v>-210.5086</v>
      </c>
      <c r="AO244" s="343">
        <v>8429</v>
      </c>
      <c r="AP244" s="332">
        <v>8.1999999999999993</v>
      </c>
      <c r="AQ244" s="448"/>
      <c r="AS244" s="455">
        <v>7488.5452300000006</v>
      </c>
      <c r="AT244" s="272">
        <v>27848.812249999999</v>
      </c>
      <c r="AU244" s="450"/>
      <c r="AV244" s="334">
        <v>13502.315119999999</v>
      </c>
      <c r="AW244" s="334">
        <v>1183.3459499999999</v>
      </c>
      <c r="AX244" s="334">
        <v>2234.4160699999998</v>
      </c>
      <c r="AY244" s="334">
        <v>16920.077140000001</v>
      </c>
      <c r="AZ244" s="334">
        <v>8392.9879999999994</v>
      </c>
      <c r="BA244" s="272">
        <v>32.04448</v>
      </c>
      <c r="BB244" s="333">
        <v>484.15980999999999</v>
      </c>
      <c r="BC244" s="272">
        <v>84.181640000000002</v>
      </c>
      <c r="BD244" s="272">
        <v>4.1579700000000006</v>
      </c>
      <c r="BE244" s="334">
        <v>4580.7064600000003</v>
      </c>
      <c r="BG244" s="331">
        <v>3069.13087</v>
      </c>
      <c r="BH244" s="334">
        <v>0</v>
      </c>
      <c r="BI244" s="334">
        <v>0</v>
      </c>
      <c r="BJ244" s="334">
        <v>1511.5755900000001</v>
      </c>
      <c r="BK244" s="334">
        <v>0</v>
      </c>
      <c r="BL244" s="331">
        <v>0</v>
      </c>
      <c r="BM244" s="334">
        <v>0</v>
      </c>
      <c r="BN244" s="334">
        <v>1511.5755900000001</v>
      </c>
      <c r="BP244" s="334">
        <v>38210.660170000003</v>
      </c>
      <c r="BQ244" s="311">
        <v>4557.52027</v>
      </c>
      <c r="BR244" s="272">
        <v>-23.18619</v>
      </c>
      <c r="BS244" s="461">
        <v>-9315.9760000000006</v>
      </c>
      <c r="BT244" s="272">
        <v>2202.4912599999998</v>
      </c>
      <c r="BU244" s="272">
        <v>151.92597000000001</v>
      </c>
      <c r="BV244" s="333">
        <v>4081.11483</v>
      </c>
      <c r="BX244" s="272">
        <v>15468.24072</v>
      </c>
      <c r="BY244" s="469">
        <v>10.77228</v>
      </c>
      <c r="BZ244" s="469">
        <v>2732.8048799999997</v>
      </c>
      <c r="CA244" s="552"/>
      <c r="CB244" s="335">
        <v>8.1999999999999993</v>
      </c>
      <c r="CC244" s="471">
        <f t="shared" si="3"/>
        <v>8.1999999999999993</v>
      </c>
      <c r="CD244" s="558"/>
      <c r="CE244" s="272"/>
      <c r="CF244" s="262"/>
      <c r="CI244" s="158">
        <v>0</v>
      </c>
      <c r="CJ244" s="331">
        <v>9474.9051433920704</v>
      </c>
      <c r="CK244" s="331">
        <v>9391.7117800166398</v>
      </c>
      <c r="CL244" s="331">
        <v>9952.8201936869355</v>
      </c>
      <c r="CM244" s="472">
        <v>10410.224208060277</v>
      </c>
      <c r="CN244" s="472">
        <v>10609.360809082873</v>
      </c>
      <c r="CO244" s="480">
        <v>1150.5540000000001</v>
      </c>
      <c r="CP244" s="557"/>
      <c r="CQ244" s="474">
        <v>0</v>
      </c>
      <c r="CR244" s="474">
        <v>0</v>
      </c>
    </row>
    <row r="245" spans="1:96" x14ac:dyDescent="0.2">
      <c r="A245" s="154">
        <v>762</v>
      </c>
      <c r="B245" s="156" t="s">
        <v>268</v>
      </c>
      <c r="C245" s="325">
        <v>3637</v>
      </c>
      <c r="D245" s="270">
        <v>8.61</v>
      </c>
      <c r="E245" s="185"/>
      <c r="G245" s="272">
        <v>3677.4074100000003</v>
      </c>
      <c r="H245" s="272">
        <v>14150.640960000001</v>
      </c>
      <c r="I245" s="272"/>
      <c r="J245" s="272">
        <v>5261.3025499999994</v>
      </c>
      <c r="K245" s="272">
        <v>1803.2593700000002</v>
      </c>
      <c r="L245" s="272">
        <v>1035.2683999999999</v>
      </c>
      <c r="M245" s="272">
        <v>8099.83032</v>
      </c>
      <c r="N245" s="272">
        <v>4462.3360000000002</v>
      </c>
      <c r="O245" s="272">
        <v>135.42791</v>
      </c>
      <c r="P245" s="272">
        <v>160.91457</v>
      </c>
      <c r="Q245" s="272">
        <v>606.71484999999996</v>
      </c>
      <c r="R245" s="272">
        <v>3.2888500000000001</v>
      </c>
      <c r="S245" s="272">
        <v>2685.3455800000002</v>
      </c>
      <c r="U245" s="272">
        <v>1226.75982</v>
      </c>
      <c r="V245" s="272">
        <v>0</v>
      </c>
      <c r="W245" s="272">
        <v>0</v>
      </c>
      <c r="X245" s="272">
        <v>1458.5857599999999</v>
      </c>
      <c r="Y245" s="272">
        <v>2786.2794599999997</v>
      </c>
      <c r="Z245" s="272">
        <v>-2250</v>
      </c>
      <c r="AA245" s="272">
        <v>0</v>
      </c>
      <c r="AB245" s="272">
        <v>922.30630000000008</v>
      </c>
      <c r="AD245" s="272">
        <v>9941.7030100000011</v>
      </c>
      <c r="AE245" s="157">
        <v>3186.78422</v>
      </c>
      <c r="AF245" s="184">
        <v>507</v>
      </c>
      <c r="AG245" s="272">
        <v>-2215.6453799999999</v>
      </c>
      <c r="AH245" s="272">
        <v>70.89</v>
      </c>
      <c r="AI245" s="184">
        <v>1905.9423100000001</v>
      </c>
      <c r="AJ245" s="272">
        <v>5138.0597900000002</v>
      </c>
      <c r="AL245" s="272">
        <v>5485.1607100000001</v>
      </c>
      <c r="AM245" s="184">
        <v>0</v>
      </c>
      <c r="AN245" s="272">
        <v>-1695.2521000000002</v>
      </c>
      <c r="AO245" s="343">
        <v>3570</v>
      </c>
      <c r="AP245" s="332">
        <v>8.6</v>
      </c>
      <c r="AQ245" s="448"/>
      <c r="AS245" s="455">
        <v>2630.45559</v>
      </c>
      <c r="AT245" s="272">
        <v>12878.435460000001</v>
      </c>
      <c r="AU245" s="450"/>
      <c r="AV245" s="334">
        <v>5438.1237000000001</v>
      </c>
      <c r="AW245" s="334">
        <v>1559.6995099999999</v>
      </c>
      <c r="AX245" s="334">
        <v>1151.5719299999998</v>
      </c>
      <c r="AY245" s="334">
        <v>8149.3951399999996</v>
      </c>
      <c r="AZ245" s="334">
        <v>4654.2550000000001</v>
      </c>
      <c r="BA245" s="272">
        <v>131.17339999999999</v>
      </c>
      <c r="BB245" s="333">
        <v>173.54195999999999</v>
      </c>
      <c r="BC245" s="272">
        <v>854.88591000000008</v>
      </c>
      <c r="BD245" s="272">
        <v>3.14236</v>
      </c>
      <c r="BE245" s="334">
        <v>3380.7326499999999</v>
      </c>
      <c r="BG245" s="331">
        <v>1135.0832499999999</v>
      </c>
      <c r="BH245" s="331">
        <v>1003.68317</v>
      </c>
      <c r="BI245" s="331">
        <v>0</v>
      </c>
      <c r="BJ245" s="334">
        <v>3249.33257</v>
      </c>
      <c r="BK245" s="331">
        <v>445.61109999999996</v>
      </c>
      <c r="BL245" s="331">
        <v>-381</v>
      </c>
      <c r="BM245" s="331">
        <v>0</v>
      </c>
      <c r="BN245" s="334">
        <v>3184.7214700000004</v>
      </c>
      <c r="BP245" s="334">
        <v>13126.42448</v>
      </c>
      <c r="BQ245" s="311">
        <v>3276.84238</v>
      </c>
      <c r="BR245" s="272">
        <v>-1107.5734399999999</v>
      </c>
      <c r="BS245" s="461">
        <v>-1561.5039999999999</v>
      </c>
      <c r="BT245" s="272">
        <v>221.75608</v>
      </c>
      <c r="BU245" s="272">
        <v>8.8800000000000008</v>
      </c>
      <c r="BV245" s="333">
        <v>5618.7955300000003</v>
      </c>
      <c r="BX245" s="272">
        <v>4361.5185600000004</v>
      </c>
      <c r="BY245" s="469">
        <v>-150</v>
      </c>
      <c r="BZ245" s="469">
        <v>-1123.6421499999999</v>
      </c>
      <c r="CA245" s="552"/>
      <c r="CB245" s="335">
        <v>8.6</v>
      </c>
      <c r="CC245" s="471">
        <f t="shared" si="3"/>
        <v>8.6</v>
      </c>
      <c r="CD245" s="558"/>
      <c r="CE245" s="272"/>
      <c r="CF245" s="262"/>
      <c r="CI245" s="158">
        <v>0</v>
      </c>
      <c r="CJ245" s="331">
        <v>5211.2199256901049</v>
      </c>
      <c r="CK245" s="331">
        <v>4981.3226871521429</v>
      </c>
      <c r="CL245" s="331">
        <v>5098.7886228833049</v>
      </c>
      <c r="CM245" s="472">
        <v>5357.7287276460729</v>
      </c>
      <c r="CN245" s="472">
        <v>5331.9191531499182</v>
      </c>
      <c r="CO245" s="480">
        <v>81.144000000000005</v>
      </c>
      <c r="CP245" s="557"/>
      <c r="CQ245" s="474">
        <v>18.473470000000002</v>
      </c>
      <c r="CR245" s="474">
        <v>15.687389999999999</v>
      </c>
    </row>
    <row r="246" spans="1:96" x14ac:dyDescent="0.2">
      <c r="A246" s="154">
        <v>765</v>
      </c>
      <c r="B246" s="156" t="s">
        <v>269</v>
      </c>
      <c r="C246" s="325">
        <v>10274</v>
      </c>
      <c r="D246" s="270">
        <v>7.1100000000000012</v>
      </c>
      <c r="E246" s="185"/>
      <c r="G246" s="272">
        <v>13137.72373</v>
      </c>
      <c r="H246" s="272">
        <v>49400.260700000006</v>
      </c>
      <c r="I246" s="272"/>
      <c r="J246" s="272">
        <v>16417.936279999998</v>
      </c>
      <c r="K246" s="272">
        <v>2991.6537000000003</v>
      </c>
      <c r="L246" s="272">
        <v>5151.1102300000002</v>
      </c>
      <c r="M246" s="272">
        <v>24560.700210000003</v>
      </c>
      <c r="N246" s="272">
        <v>4834.3100000000004</v>
      </c>
      <c r="O246" s="272">
        <v>2.17862</v>
      </c>
      <c r="P246" s="272">
        <v>1418.0096799999999</v>
      </c>
      <c r="Q246" s="272">
        <v>4368.9512800000002</v>
      </c>
      <c r="R246" s="272">
        <v>-798.4053100000001</v>
      </c>
      <c r="S246" s="272">
        <v>-3051.9110299999998</v>
      </c>
      <c r="U246" s="272">
        <v>4033.5898500000003</v>
      </c>
      <c r="V246" s="272">
        <v>0</v>
      </c>
      <c r="W246" s="272">
        <v>0</v>
      </c>
      <c r="X246" s="272">
        <v>-7085.5008799999996</v>
      </c>
      <c r="Y246" s="272">
        <v>-81.78013</v>
      </c>
      <c r="Z246" s="272">
        <v>0</v>
      </c>
      <c r="AA246" s="272">
        <v>0</v>
      </c>
      <c r="AB246" s="272">
        <v>-7003.7207500000004</v>
      </c>
      <c r="AD246" s="272">
        <v>44018.188459999998</v>
      </c>
      <c r="AE246" s="157">
        <v>-3171.1251099999999</v>
      </c>
      <c r="AF246" s="184">
        <v>-119.21408</v>
      </c>
      <c r="AG246" s="272">
        <v>-25149.588640000002</v>
      </c>
      <c r="AH246" s="272">
        <v>2243.7885699999997</v>
      </c>
      <c r="AI246" s="184">
        <v>103.087</v>
      </c>
      <c r="AJ246" s="272">
        <v>37923.039389999998</v>
      </c>
      <c r="AL246" s="272">
        <v>49655.419190000001</v>
      </c>
      <c r="AM246" s="184">
        <v>-25.147779999999997</v>
      </c>
      <c r="AN246" s="272">
        <v>25917.60124</v>
      </c>
      <c r="AO246" s="343">
        <v>10185</v>
      </c>
      <c r="AP246" s="332">
        <v>7.5</v>
      </c>
      <c r="AQ246" s="448"/>
      <c r="AS246" s="455">
        <v>13111.443529999999</v>
      </c>
      <c r="AT246" s="272">
        <v>49291.189180000001</v>
      </c>
      <c r="AU246" s="450"/>
      <c r="AV246" s="334">
        <v>16759.986509999999</v>
      </c>
      <c r="AW246" s="334">
        <v>2316.92868</v>
      </c>
      <c r="AX246" s="334">
        <v>5496.4855800000005</v>
      </c>
      <c r="AY246" s="334">
        <v>24573.40077</v>
      </c>
      <c r="AZ246" s="334">
        <v>7999.4319999999998</v>
      </c>
      <c r="BA246" s="272">
        <v>72.964600000000004</v>
      </c>
      <c r="BB246" s="333">
        <v>1966.90498</v>
      </c>
      <c r="BC246" s="272">
        <v>4170.8119200000001</v>
      </c>
      <c r="BD246" s="272">
        <v>1045.8554799999999</v>
      </c>
      <c r="BE246" s="334">
        <v>-2375.8968199999999</v>
      </c>
      <c r="BG246" s="331">
        <v>6420.14455</v>
      </c>
      <c r="BH246" s="331">
        <v>11501.37976</v>
      </c>
      <c r="BI246" s="331">
        <v>0</v>
      </c>
      <c r="BJ246" s="334">
        <v>2705.3383900000003</v>
      </c>
      <c r="BK246" s="331">
        <v>-552.27831000000003</v>
      </c>
      <c r="BL246" s="331">
        <v>0</v>
      </c>
      <c r="BM246" s="331">
        <v>0</v>
      </c>
      <c r="BN246" s="334">
        <v>3257.6167</v>
      </c>
      <c r="BP246" s="334">
        <v>47275.805160000004</v>
      </c>
      <c r="BQ246" s="311">
        <v>-2626.1350499999999</v>
      </c>
      <c r="BR246" s="272">
        <v>-11751.617990000001</v>
      </c>
      <c r="BS246" s="461">
        <v>-35095.848740000001</v>
      </c>
      <c r="BT246" s="272">
        <v>1667.59539</v>
      </c>
      <c r="BU246" s="272">
        <v>12552.33592</v>
      </c>
      <c r="BV246" s="333">
        <v>41742.036990000001</v>
      </c>
      <c r="BX246" s="272">
        <v>89073.01943</v>
      </c>
      <c r="BY246" s="469">
        <v>-14357.584140000001</v>
      </c>
      <c r="BZ246" s="469">
        <v>39417.60024</v>
      </c>
      <c r="CA246" s="552"/>
      <c r="CB246" s="335">
        <v>8.5</v>
      </c>
      <c r="CC246" s="471">
        <f t="shared" si="3"/>
        <v>8.5</v>
      </c>
      <c r="CD246" s="558"/>
      <c r="CE246" s="272"/>
      <c r="CF246" s="262"/>
      <c r="CI246" s="158">
        <v>0</v>
      </c>
      <c r="CJ246" s="331">
        <v>8198.4631892673533</v>
      </c>
      <c r="CK246" s="331">
        <v>8266.5499586318201</v>
      </c>
      <c r="CL246" s="331">
        <v>6119.8818820980669</v>
      </c>
      <c r="CM246" s="472">
        <v>6617.6619158767317</v>
      </c>
      <c r="CN246" s="472">
        <v>6755.9522552008602</v>
      </c>
      <c r="CO246" s="480">
        <v>1122.4749999999999</v>
      </c>
      <c r="CP246" s="557"/>
      <c r="CQ246" s="474">
        <v>64.090199999999996</v>
      </c>
      <c r="CR246" s="474">
        <v>0</v>
      </c>
    </row>
    <row r="247" spans="1:96" x14ac:dyDescent="0.2">
      <c r="A247" s="154">
        <v>768</v>
      </c>
      <c r="B247" s="156" t="s">
        <v>270</v>
      </c>
      <c r="C247" s="325">
        <v>2368</v>
      </c>
      <c r="D247" s="270">
        <v>8.36</v>
      </c>
      <c r="E247" s="185"/>
      <c r="G247" s="272">
        <v>2453.9184399999999</v>
      </c>
      <c r="H247" s="272">
        <v>9623.2469399999991</v>
      </c>
      <c r="I247" s="272"/>
      <c r="J247" s="272">
        <v>3173.91338</v>
      </c>
      <c r="K247" s="272">
        <v>979.12142000000006</v>
      </c>
      <c r="L247" s="272">
        <v>1033.0287900000001</v>
      </c>
      <c r="M247" s="272">
        <v>5186.0635899999997</v>
      </c>
      <c r="N247" s="272">
        <v>2430.3879999999999</v>
      </c>
      <c r="O247" s="272">
        <v>7.1238100000000006</v>
      </c>
      <c r="P247" s="272">
        <v>137.43264000000002</v>
      </c>
      <c r="Q247" s="272">
        <v>187.74976999999998</v>
      </c>
      <c r="R247" s="272">
        <v>4.2260100000000005</v>
      </c>
      <c r="S247" s="272">
        <v>500.33802000000003</v>
      </c>
      <c r="U247" s="272">
        <v>578.69628</v>
      </c>
      <c r="V247" s="272">
        <v>205.90216000000001</v>
      </c>
      <c r="W247" s="272">
        <v>0</v>
      </c>
      <c r="X247" s="272">
        <v>127.54389999999999</v>
      </c>
      <c r="Y247" s="272">
        <v>-4.6982799999999996</v>
      </c>
      <c r="Z247" s="272">
        <v>0</v>
      </c>
      <c r="AA247" s="272">
        <v>0</v>
      </c>
      <c r="AB247" s="272">
        <v>132.24217999999999</v>
      </c>
      <c r="AD247" s="272">
        <v>6626.1362200000003</v>
      </c>
      <c r="AE247" s="157">
        <v>423.47910999999999</v>
      </c>
      <c r="AF247" s="184">
        <v>-76.858910000000009</v>
      </c>
      <c r="AG247" s="272">
        <v>-955.73941000000002</v>
      </c>
      <c r="AH247" s="272">
        <v>57.313919999999996</v>
      </c>
      <c r="AI247" s="184">
        <v>108.59744999999999</v>
      </c>
      <c r="AJ247" s="272">
        <v>618.75225999999998</v>
      </c>
      <c r="AL247" s="272">
        <v>2641.6860000000001</v>
      </c>
      <c r="AM247" s="184">
        <v>-236.31938</v>
      </c>
      <c r="AN247" s="272">
        <v>2.6680000000000001</v>
      </c>
      <c r="AO247" s="343">
        <v>2361</v>
      </c>
      <c r="AP247" s="332">
        <v>8.4</v>
      </c>
      <c r="AQ247" s="448"/>
      <c r="AS247" s="455">
        <v>2709.2718399999999</v>
      </c>
      <c r="AT247" s="272">
        <v>9678.7038300000004</v>
      </c>
      <c r="AU247" s="450"/>
      <c r="AV247" s="334">
        <v>3361.3241899999998</v>
      </c>
      <c r="AW247" s="334">
        <v>807.85482999999999</v>
      </c>
      <c r="AX247" s="334">
        <v>1172.9820400000001</v>
      </c>
      <c r="AY247" s="334">
        <v>5342.1610599999995</v>
      </c>
      <c r="AZ247" s="334">
        <v>3003.3869500000001</v>
      </c>
      <c r="BA247" s="272">
        <v>23.971490000000003</v>
      </c>
      <c r="BB247" s="333">
        <v>60.87471</v>
      </c>
      <c r="BC247" s="272">
        <v>377.65276</v>
      </c>
      <c r="BD247" s="272">
        <v>0.90149999999999997</v>
      </c>
      <c r="BE247" s="334">
        <v>1715.96406</v>
      </c>
      <c r="BG247" s="331">
        <v>610.67574999999999</v>
      </c>
      <c r="BH247" s="334">
        <v>0</v>
      </c>
      <c r="BI247" s="334">
        <v>296.62</v>
      </c>
      <c r="BJ247" s="334">
        <v>808.66831000000002</v>
      </c>
      <c r="BK247" s="334">
        <v>-4.6982799999999996</v>
      </c>
      <c r="BL247" s="334">
        <v>0</v>
      </c>
      <c r="BM247" s="334">
        <v>0</v>
      </c>
      <c r="BN247" s="334">
        <v>813.36658999999997</v>
      </c>
      <c r="BP247" s="334">
        <v>7198.7325199999996</v>
      </c>
      <c r="BQ247" s="311">
        <v>1571.58179</v>
      </c>
      <c r="BR247" s="272">
        <v>152.23773</v>
      </c>
      <c r="BS247" s="461">
        <v>-336.02828999999997</v>
      </c>
      <c r="BT247" s="272">
        <v>60.764789999999998</v>
      </c>
      <c r="BU247" s="272">
        <v>171.09289999999999</v>
      </c>
      <c r="BV247" s="333">
        <v>1945.0233000000001</v>
      </c>
      <c r="BX247" s="272">
        <v>2500</v>
      </c>
      <c r="BY247" s="469">
        <v>56.240120000000005</v>
      </c>
      <c r="BZ247" s="469">
        <v>-141.68600000000001</v>
      </c>
      <c r="CA247" s="552"/>
      <c r="CB247" s="335">
        <v>8.4</v>
      </c>
      <c r="CC247" s="471">
        <f t="shared" si="3"/>
        <v>8.4</v>
      </c>
      <c r="CD247" s="558"/>
      <c r="CE247" s="272"/>
      <c r="CF247" s="262"/>
      <c r="CI247" s="158">
        <v>0</v>
      </c>
      <c r="CJ247" s="331">
        <v>3517.8473546966998</v>
      </c>
      <c r="CK247" s="331">
        <v>3570.1193157249668</v>
      </c>
      <c r="CL247" s="331">
        <v>3786.1396198024422</v>
      </c>
      <c r="CM247" s="472">
        <v>3959.0439849981849</v>
      </c>
      <c r="CN247" s="472">
        <v>4044.5004811125632</v>
      </c>
      <c r="CO247" s="480">
        <v>328.75599999999997</v>
      </c>
      <c r="CP247" s="557"/>
      <c r="CQ247" s="474">
        <v>0</v>
      </c>
      <c r="CR247" s="474">
        <v>0</v>
      </c>
    </row>
    <row r="248" spans="1:96" x14ac:dyDescent="0.2">
      <c r="A248" s="154">
        <v>777</v>
      </c>
      <c r="B248" s="156" t="s">
        <v>271</v>
      </c>
      <c r="C248" s="325">
        <v>7172</v>
      </c>
      <c r="D248" s="270">
        <v>8.86</v>
      </c>
      <c r="E248" s="185"/>
      <c r="G248" s="272">
        <v>10400.044169999999</v>
      </c>
      <c r="H248" s="272">
        <v>29634.310309999997</v>
      </c>
      <c r="I248" s="272"/>
      <c r="J248" s="272">
        <v>11256.43981</v>
      </c>
      <c r="K248" s="272">
        <v>2441.6932599999996</v>
      </c>
      <c r="L248" s="272">
        <v>3590.9907000000003</v>
      </c>
      <c r="M248" s="272">
        <v>17289.123769999998</v>
      </c>
      <c r="N248" s="272">
        <v>7492.482</v>
      </c>
      <c r="O248" s="272">
        <v>176.20779999999999</v>
      </c>
      <c r="P248" s="272">
        <v>771.09523999999999</v>
      </c>
      <c r="Q248" s="272">
        <v>755.57256000000007</v>
      </c>
      <c r="R248" s="272">
        <v>208.02816000000001</v>
      </c>
      <c r="S248" s="272">
        <v>5639.6036100000001</v>
      </c>
      <c r="U248" s="272">
        <v>5525.0466500000002</v>
      </c>
      <c r="V248" s="272">
        <v>0</v>
      </c>
      <c r="W248" s="272">
        <v>0</v>
      </c>
      <c r="X248" s="272">
        <v>114.55696</v>
      </c>
      <c r="Y248" s="272">
        <v>0</v>
      </c>
      <c r="Z248" s="272">
        <v>0</v>
      </c>
      <c r="AA248" s="272">
        <v>-461.02875</v>
      </c>
      <c r="AB248" s="272">
        <v>575.58570999999995</v>
      </c>
      <c r="AD248" s="272">
        <v>17285.886849999999</v>
      </c>
      <c r="AE248" s="157">
        <v>5523.9239600000001</v>
      </c>
      <c r="AF248" s="184">
        <v>-115.67965</v>
      </c>
      <c r="AG248" s="272">
        <v>-1916.7092600000001</v>
      </c>
      <c r="AH248" s="272">
        <v>914.23967000000005</v>
      </c>
      <c r="AI248" s="184">
        <v>115.67965</v>
      </c>
      <c r="AJ248" s="272">
        <v>21315.218370000002</v>
      </c>
      <c r="AL248" s="272">
        <v>28437.22595</v>
      </c>
      <c r="AM248" s="184">
        <v>0</v>
      </c>
      <c r="AN248" s="272">
        <v>1106.3670199999999</v>
      </c>
      <c r="AO248" s="343">
        <v>7038</v>
      </c>
      <c r="AP248" s="332">
        <v>8.9</v>
      </c>
      <c r="AQ248" s="448"/>
      <c r="AS248" s="455">
        <v>9495.4357</v>
      </c>
      <c r="AT248" s="272">
        <v>27693.243589999998</v>
      </c>
      <c r="AU248" s="450"/>
      <c r="AV248" s="334">
        <v>11433.68475</v>
      </c>
      <c r="AW248" s="334">
        <v>1904.3608700000002</v>
      </c>
      <c r="AX248" s="334">
        <v>3687.6932400000001</v>
      </c>
      <c r="AY248" s="334">
        <v>17025.738859999998</v>
      </c>
      <c r="AZ248" s="334">
        <v>8090.2280000000001</v>
      </c>
      <c r="BA248" s="272">
        <v>117.80091</v>
      </c>
      <c r="BB248" s="333">
        <v>723.94008999999994</v>
      </c>
      <c r="BC248" s="272">
        <v>1325.6181899999999</v>
      </c>
      <c r="BD248" s="272">
        <v>143.25211999999999</v>
      </c>
      <c r="BE248" s="334">
        <v>7654.0326999999997</v>
      </c>
      <c r="BG248" s="331">
        <v>6792.9391399999995</v>
      </c>
      <c r="BH248" s="334">
        <v>0</v>
      </c>
      <c r="BI248" s="331">
        <v>0</v>
      </c>
      <c r="BJ248" s="334">
        <v>861.09356000000002</v>
      </c>
      <c r="BK248" s="331">
        <v>0</v>
      </c>
      <c r="BL248" s="331">
        <v>0</v>
      </c>
      <c r="BM248" s="331">
        <v>3.8244499999999997</v>
      </c>
      <c r="BN248" s="334">
        <v>857.26910999999996</v>
      </c>
      <c r="BP248" s="334">
        <v>18143.15596</v>
      </c>
      <c r="BQ248" s="311">
        <v>7369.7757499999998</v>
      </c>
      <c r="BR248" s="272">
        <v>-283.60305</v>
      </c>
      <c r="BS248" s="461">
        <v>-3766.0713100000003</v>
      </c>
      <c r="BT248" s="272">
        <v>103.8</v>
      </c>
      <c r="BU248" s="272">
        <v>1504.7573200000002</v>
      </c>
      <c r="BV248" s="333">
        <v>22756.736089999999</v>
      </c>
      <c r="BX248" s="272">
        <v>25410.259969999999</v>
      </c>
      <c r="BY248" s="469">
        <v>156.58295000000001</v>
      </c>
      <c r="BZ248" s="469">
        <v>-3026.9659799999999</v>
      </c>
      <c r="CA248" s="552"/>
      <c r="CB248" s="335">
        <v>8.9</v>
      </c>
      <c r="CC248" s="471">
        <f t="shared" si="3"/>
        <v>8.9</v>
      </c>
      <c r="CD248" s="558"/>
      <c r="CE248" s="272"/>
      <c r="CF248" s="262"/>
      <c r="CI248" s="158">
        <v>0</v>
      </c>
      <c r="CJ248" s="331">
        <v>8631.965630395629</v>
      </c>
      <c r="CK248" s="331">
        <v>8716.5541872091089</v>
      </c>
      <c r="CL248" s="331">
        <v>8861.1887492282949</v>
      </c>
      <c r="CM248" s="472">
        <v>9665.1022638125232</v>
      </c>
      <c r="CN248" s="472">
        <v>10141.685849562553</v>
      </c>
      <c r="CO248" s="480">
        <v>-331.649</v>
      </c>
      <c r="CP248" s="557"/>
      <c r="CQ248" s="474">
        <v>139.60701999999998</v>
      </c>
      <c r="CR248" s="474">
        <v>159.64684</v>
      </c>
    </row>
    <row r="249" spans="1:96" x14ac:dyDescent="0.2">
      <c r="A249" s="154">
        <v>778</v>
      </c>
      <c r="B249" s="156" t="s">
        <v>272</v>
      </c>
      <c r="C249" s="325">
        <v>6708</v>
      </c>
      <c r="D249" s="270">
        <v>9.11</v>
      </c>
      <c r="E249" s="185"/>
      <c r="G249" s="272">
        <v>6013.2392399999999</v>
      </c>
      <c r="H249" s="272">
        <v>24947.039230000002</v>
      </c>
      <c r="I249" s="272"/>
      <c r="J249" s="272">
        <v>11263.020109999999</v>
      </c>
      <c r="K249" s="272">
        <v>2599.56367</v>
      </c>
      <c r="L249" s="272">
        <v>2006.35636</v>
      </c>
      <c r="M249" s="272">
        <v>15868.940140000001</v>
      </c>
      <c r="N249" s="272">
        <v>5171.1009999999997</v>
      </c>
      <c r="O249" s="272">
        <v>216.89983999999998</v>
      </c>
      <c r="P249" s="272">
        <v>797.90622999999994</v>
      </c>
      <c r="Q249" s="272">
        <v>1132.6941999999999</v>
      </c>
      <c r="R249" s="272">
        <v>8.0999999999999996E-3</v>
      </c>
      <c r="S249" s="272">
        <v>2747.52531</v>
      </c>
      <c r="U249" s="272">
        <v>2860.4965400000001</v>
      </c>
      <c r="V249" s="272">
        <v>198.23755</v>
      </c>
      <c r="W249" s="272">
        <v>60.421500000000002</v>
      </c>
      <c r="X249" s="272">
        <v>24.844819999999999</v>
      </c>
      <c r="Y249" s="272">
        <v>0</v>
      </c>
      <c r="Z249" s="272">
        <v>0</v>
      </c>
      <c r="AA249" s="272">
        <v>0</v>
      </c>
      <c r="AB249" s="272">
        <v>24.844819999999999</v>
      </c>
      <c r="AD249" s="272">
        <v>8815.8337800000008</v>
      </c>
      <c r="AE249" s="157">
        <v>3653.6642900000002</v>
      </c>
      <c r="AF249" s="184">
        <v>768.32293000000004</v>
      </c>
      <c r="AG249" s="272">
        <v>-2043.0529299999998</v>
      </c>
      <c r="AH249" s="272">
        <v>0</v>
      </c>
      <c r="AI249" s="184">
        <v>858.59331999999995</v>
      </c>
      <c r="AJ249" s="272">
        <v>927.08219999999994</v>
      </c>
      <c r="AL249" s="272">
        <v>16203.413349999999</v>
      </c>
      <c r="AM249" s="184">
        <v>0</v>
      </c>
      <c r="AN249" s="272">
        <v>-4357.8116</v>
      </c>
      <c r="AO249" s="343">
        <v>6632</v>
      </c>
      <c r="AP249" s="332">
        <v>9.1</v>
      </c>
      <c r="AQ249" s="448"/>
      <c r="AS249" s="455">
        <v>6187.0777900000003</v>
      </c>
      <c r="AT249" s="272">
        <v>24667.64041</v>
      </c>
      <c r="AU249" s="450"/>
      <c r="AV249" s="334">
        <v>11255.536199999999</v>
      </c>
      <c r="AW249" s="334">
        <v>3109.7705599999999</v>
      </c>
      <c r="AX249" s="334">
        <v>2075.10142</v>
      </c>
      <c r="AY249" s="334">
        <v>16440.408179999999</v>
      </c>
      <c r="AZ249" s="334">
        <v>5993.8389999999999</v>
      </c>
      <c r="BA249" s="272">
        <v>209.34822</v>
      </c>
      <c r="BB249" s="333">
        <v>609.72176000000002</v>
      </c>
      <c r="BC249" s="272">
        <v>1240.7235500000002</v>
      </c>
      <c r="BD249" s="272">
        <v>0.11642</v>
      </c>
      <c r="BE249" s="334">
        <v>4861.4824699999999</v>
      </c>
      <c r="BG249" s="331">
        <v>2522.27583</v>
      </c>
      <c r="BH249" s="331">
        <v>0</v>
      </c>
      <c r="BI249" s="331">
        <v>32.857239999999997</v>
      </c>
      <c r="BJ249" s="334">
        <v>2306.3494000000001</v>
      </c>
      <c r="BK249" s="334">
        <v>0</v>
      </c>
      <c r="BL249" s="331">
        <v>0</v>
      </c>
      <c r="BM249" s="331">
        <v>0</v>
      </c>
      <c r="BN249" s="334">
        <v>2306.3494000000001</v>
      </c>
      <c r="BP249" s="334">
        <v>11122.18318</v>
      </c>
      <c r="BQ249" s="311">
        <v>4570.6440700000003</v>
      </c>
      <c r="BR249" s="272">
        <v>-257.98115999999999</v>
      </c>
      <c r="BS249" s="461">
        <v>-1641.02243</v>
      </c>
      <c r="BT249" s="272">
        <v>0</v>
      </c>
      <c r="BU249" s="272">
        <v>94.787999999999997</v>
      </c>
      <c r="BV249" s="333">
        <v>1577.6373999999998</v>
      </c>
      <c r="BX249" s="272">
        <v>13685.56675</v>
      </c>
      <c r="BY249" s="469">
        <v>0</v>
      </c>
      <c r="BZ249" s="469">
        <v>-2517.8466000000003</v>
      </c>
      <c r="CA249" s="552"/>
      <c r="CB249" s="335">
        <v>9.1</v>
      </c>
      <c r="CC249" s="471">
        <f t="shared" si="3"/>
        <v>9.1</v>
      </c>
      <c r="CD249" s="558"/>
      <c r="CE249" s="272"/>
      <c r="CF249" s="262"/>
      <c r="CI249" s="158">
        <v>0</v>
      </c>
      <c r="CJ249" s="331">
        <v>5344.8288653862719</v>
      </c>
      <c r="CK249" s="331">
        <v>4434.6950366880819</v>
      </c>
      <c r="CL249" s="331">
        <v>5658.8770144591772</v>
      </c>
      <c r="CM249" s="472">
        <v>6034.8230841090472</v>
      </c>
      <c r="CN249" s="472">
        <v>6032.3277160996631</v>
      </c>
      <c r="CO249" s="480">
        <v>68.655000000000001</v>
      </c>
      <c r="CP249" s="557"/>
      <c r="CQ249" s="474">
        <v>89.60445</v>
      </c>
      <c r="CR249" s="474">
        <v>67.564320000000009</v>
      </c>
    </row>
    <row r="250" spans="1:96" x14ac:dyDescent="0.2">
      <c r="A250" s="154">
        <v>781</v>
      </c>
      <c r="B250" s="156" t="s">
        <v>273</v>
      </c>
      <c r="C250" s="325">
        <v>3496</v>
      </c>
      <c r="D250" s="270">
        <v>6.36</v>
      </c>
      <c r="E250" s="185"/>
      <c r="G250" s="272">
        <v>16768.173619999998</v>
      </c>
      <c r="H250" s="272">
        <v>25407.698909999999</v>
      </c>
      <c r="I250" s="272"/>
      <c r="J250" s="272">
        <v>3977.6279100000002</v>
      </c>
      <c r="K250" s="272">
        <v>1324.99577</v>
      </c>
      <c r="L250" s="272">
        <v>2186.4958900000001</v>
      </c>
      <c r="M250" s="272">
        <v>7489.1195700000007</v>
      </c>
      <c r="N250" s="272">
        <v>3579.9079999999999</v>
      </c>
      <c r="O250" s="272">
        <v>94.673810000000003</v>
      </c>
      <c r="P250" s="272">
        <v>51.420180000000002</v>
      </c>
      <c r="Q250" s="272">
        <v>234.34870999999998</v>
      </c>
      <c r="R250" s="272">
        <v>9.4465400000000006</v>
      </c>
      <c r="S250" s="272">
        <v>2697.6580800000002</v>
      </c>
      <c r="U250" s="272">
        <v>1926.2908</v>
      </c>
      <c r="V250" s="272">
        <v>0</v>
      </c>
      <c r="W250" s="272">
        <v>0</v>
      </c>
      <c r="X250" s="272">
        <v>771.36728000000005</v>
      </c>
      <c r="Y250" s="272">
        <v>-422.60161999999997</v>
      </c>
      <c r="Z250" s="272">
        <v>700</v>
      </c>
      <c r="AA250" s="272">
        <v>0</v>
      </c>
      <c r="AB250" s="272">
        <v>493.96890000000002</v>
      </c>
      <c r="AD250" s="272">
        <v>6676.0936999999994</v>
      </c>
      <c r="AE250" s="157">
        <v>2702.7601500000001</v>
      </c>
      <c r="AF250" s="184">
        <v>5.1020699999999994</v>
      </c>
      <c r="AG250" s="272">
        <v>-1686.1817699999999</v>
      </c>
      <c r="AH250" s="272">
        <v>0</v>
      </c>
      <c r="AI250" s="184">
        <v>2440.7589500000004</v>
      </c>
      <c r="AJ250" s="272">
        <v>0</v>
      </c>
      <c r="AL250" s="272">
        <v>8.801639999999999</v>
      </c>
      <c r="AM250" s="184">
        <v>0</v>
      </c>
      <c r="AN250" s="272">
        <v>-3307.7375999999999</v>
      </c>
      <c r="AO250" s="343">
        <v>3428</v>
      </c>
      <c r="AP250" s="332">
        <v>6.4</v>
      </c>
      <c r="AQ250" s="448"/>
      <c r="AS250" s="455">
        <v>17613.52925</v>
      </c>
      <c r="AT250" s="272">
        <v>25065.096000000001</v>
      </c>
      <c r="AU250" s="450"/>
      <c r="AV250" s="334">
        <v>3920.7359999999999</v>
      </c>
      <c r="AW250" s="334">
        <v>1065.2548000000002</v>
      </c>
      <c r="AX250" s="334">
        <v>2487.8056699999997</v>
      </c>
      <c r="AY250" s="334">
        <v>7473.7964699999993</v>
      </c>
      <c r="AZ250" s="334">
        <v>3784.1990000000001</v>
      </c>
      <c r="BA250" s="272">
        <v>87.280479999999997</v>
      </c>
      <c r="BB250" s="333">
        <v>54.236910000000002</v>
      </c>
      <c r="BC250" s="272">
        <v>190.57989999999998</v>
      </c>
      <c r="BD250" s="272">
        <v>12.21931</v>
      </c>
      <c r="BE250" s="334">
        <v>4017.8328799999999</v>
      </c>
      <c r="BG250" s="331">
        <v>1337.0314799999999</v>
      </c>
      <c r="BH250" s="331">
        <v>0</v>
      </c>
      <c r="BI250" s="331">
        <v>0</v>
      </c>
      <c r="BJ250" s="334">
        <v>2680.8013999999998</v>
      </c>
      <c r="BK250" s="331">
        <v>846.48021999999992</v>
      </c>
      <c r="BL250" s="331">
        <v>-250</v>
      </c>
      <c r="BM250" s="334">
        <v>0</v>
      </c>
      <c r="BN250" s="334">
        <v>2084.3211799999999</v>
      </c>
      <c r="BP250" s="334">
        <v>8760.4148800000003</v>
      </c>
      <c r="BQ250" s="311">
        <v>4023.9265</v>
      </c>
      <c r="BR250" s="272">
        <v>6.0936199999999996</v>
      </c>
      <c r="BS250" s="461">
        <v>-2953.52169</v>
      </c>
      <c r="BT250" s="272">
        <v>864.69010000000003</v>
      </c>
      <c r="BU250" s="272">
        <v>0</v>
      </c>
      <c r="BV250" s="333">
        <v>6928.8827200000005</v>
      </c>
      <c r="BX250" s="272">
        <v>38.20129</v>
      </c>
      <c r="BY250" s="469">
        <v>0</v>
      </c>
      <c r="BZ250" s="469">
        <v>-1100</v>
      </c>
      <c r="CA250" s="552"/>
      <c r="CB250" s="335">
        <v>6.4</v>
      </c>
      <c r="CC250" s="471">
        <f t="shared" si="3"/>
        <v>6.4</v>
      </c>
      <c r="CD250" s="558"/>
      <c r="CE250" s="272"/>
      <c r="CF250" s="262"/>
      <c r="CI250" s="158">
        <v>0</v>
      </c>
      <c r="CJ250" s="331">
        <v>4030.9883296573535</v>
      </c>
      <c r="CK250" s="331">
        <v>3778.7952753239142</v>
      </c>
      <c r="CL250" s="331">
        <v>3899.6232532790982</v>
      </c>
      <c r="CM250" s="472">
        <v>4290.7133871651577</v>
      </c>
      <c r="CN250" s="472">
        <v>4390.2776111218636</v>
      </c>
      <c r="CO250" s="480">
        <v>-359.13900000000001</v>
      </c>
      <c r="CP250" s="557"/>
      <c r="CQ250" s="474">
        <v>0</v>
      </c>
      <c r="CR250" s="474">
        <v>0</v>
      </c>
    </row>
    <row r="251" spans="1:96" x14ac:dyDescent="0.2">
      <c r="A251" s="154">
        <v>783</v>
      </c>
      <c r="B251" s="156" t="s">
        <v>274</v>
      </c>
      <c r="C251" s="325">
        <v>6377</v>
      </c>
      <c r="D251" s="270">
        <v>8.86</v>
      </c>
      <c r="E251" s="185"/>
      <c r="G251" s="272">
        <v>9012.0422600000002</v>
      </c>
      <c r="H251" s="272">
        <v>22098.176179999999</v>
      </c>
      <c r="I251" s="272"/>
      <c r="J251" s="272">
        <v>12493.967929999999</v>
      </c>
      <c r="K251" s="272">
        <v>1487.8368899999998</v>
      </c>
      <c r="L251" s="272">
        <v>2001.51802</v>
      </c>
      <c r="M251" s="272">
        <v>15983.322840000001</v>
      </c>
      <c r="N251" s="272">
        <v>3569.0390000000002</v>
      </c>
      <c r="O251" s="272">
        <v>116.87374000000001</v>
      </c>
      <c r="P251" s="272">
        <v>151.23481000000001</v>
      </c>
      <c r="Q251" s="272">
        <v>45.217480000000002</v>
      </c>
      <c r="R251" s="272">
        <v>2.99085</v>
      </c>
      <c r="S251" s="272">
        <v>6474.0934800000005</v>
      </c>
      <c r="U251" s="272">
        <v>2306.3068599999997</v>
      </c>
      <c r="V251" s="272">
        <v>0</v>
      </c>
      <c r="W251" s="272">
        <v>0</v>
      </c>
      <c r="X251" s="272">
        <v>4167.7866199999999</v>
      </c>
      <c r="Y251" s="272">
        <v>-0.37585000000000002</v>
      </c>
      <c r="Z251" s="272">
        <v>0</v>
      </c>
      <c r="AA251" s="272">
        <v>0</v>
      </c>
      <c r="AB251" s="272">
        <v>4168.1624700000002</v>
      </c>
      <c r="AD251" s="272">
        <v>9764.1307300000008</v>
      </c>
      <c r="AE251" s="157">
        <v>6437.2232400000003</v>
      </c>
      <c r="AF251" s="184">
        <v>-36.870239999999995</v>
      </c>
      <c r="AG251" s="272">
        <v>-3839.5757599999997</v>
      </c>
      <c r="AH251" s="272">
        <v>53.801000000000002</v>
      </c>
      <c r="AI251" s="184">
        <v>70.819999999999993</v>
      </c>
      <c r="AJ251" s="272">
        <v>2958.67418</v>
      </c>
      <c r="AL251" s="272">
        <v>4931.5730000000003</v>
      </c>
      <c r="AM251" s="184">
        <v>0</v>
      </c>
      <c r="AN251" s="272">
        <v>-489.08600000000001</v>
      </c>
      <c r="AO251" s="343">
        <v>6256</v>
      </c>
      <c r="AP251" s="332">
        <v>8.9000000000000021</v>
      </c>
      <c r="AQ251" s="448"/>
      <c r="AS251" s="455">
        <v>9013.23459</v>
      </c>
      <c r="AT251" s="272">
        <v>22694.80991</v>
      </c>
      <c r="AU251" s="450"/>
      <c r="AV251" s="334">
        <v>12563.53177</v>
      </c>
      <c r="AW251" s="334">
        <v>1126.48614</v>
      </c>
      <c r="AX251" s="334">
        <v>2617.3515200000002</v>
      </c>
      <c r="AY251" s="334">
        <v>16307.369429999999</v>
      </c>
      <c r="AZ251" s="334">
        <v>2644.018</v>
      </c>
      <c r="BA251" s="272">
        <v>98.540220000000005</v>
      </c>
      <c r="BB251" s="333">
        <v>185.89623999999998</v>
      </c>
      <c r="BC251" s="272">
        <v>66.282139999999998</v>
      </c>
      <c r="BD251" s="272">
        <v>9.9809900000000003</v>
      </c>
      <c r="BE251" s="334">
        <v>5238.7572399999999</v>
      </c>
      <c r="BG251" s="331">
        <v>2397.92508</v>
      </c>
      <c r="BH251" s="331">
        <v>0</v>
      </c>
      <c r="BI251" s="331">
        <v>0</v>
      </c>
      <c r="BJ251" s="334">
        <v>2840.8321599999999</v>
      </c>
      <c r="BK251" s="331">
        <v>-0.28188000000000002</v>
      </c>
      <c r="BL251" s="331">
        <v>0</v>
      </c>
      <c r="BM251" s="331">
        <v>0</v>
      </c>
      <c r="BN251" s="334">
        <v>2841.1140399999999</v>
      </c>
      <c r="BP251" s="334">
        <v>12605.244769999999</v>
      </c>
      <c r="BQ251" s="311">
        <v>5085.9235399999998</v>
      </c>
      <c r="BR251" s="272">
        <v>-152.83370000000002</v>
      </c>
      <c r="BS251" s="461">
        <v>-2743.0607300000001</v>
      </c>
      <c r="BT251" s="272">
        <v>272.48599999999999</v>
      </c>
      <c r="BU251" s="272">
        <v>228.81039999999999</v>
      </c>
      <c r="BV251" s="333">
        <v>5880.64977</v>
      </c>
      <c r="BX251" s="272">
        <v>4492.4870000000001</v>
      </c>
      <c r="BY251" s="469">
        <v>-200</v>
      </c>
      <c r="BZ251" s="469">
        <v>-439.08600000000001</v>
      </c>
      <c r="CA251" s="552"/>
      <c r="CB251" s="335">
        <v>8.9</v>
      </c>
      <c r="CC251" s="471">
        <f t="shared" si="3"/>
        <v>8.9</v>
      </c>
      <c r="CD251" s="558"/>
      <c r="CE251" s="272"/>
      <c r="CF251" s="262"/>
      <c r="CI251" s="158">
        <v>380</v>
      </c>
      <c r="CJ251" s="331">
        <v>2697.7880206789714</v>
      </c>
      <c r="CK251" s="331">
        <v>2725.0282250560517</v>
      </c>
      <c r="CL251" s="331">
        <v>2687.0062641279274</v>
      </c>
      <c r="CM251" s="472">
        <v>3024.2276107394473</v>
      </c>
      <c r="CN251" s="472">
        <v>3108.0199167984151</v>
      </c>
      <c r="CO251" s="480">
        <v>-63.463000000000001</v>
      </c>
      <c r="CP251" s="557"/>
      <c r="CQ251" s="474">
        <v>0</v>
      </c>
      <c r="CR251" s="474">
        <v>0</v>
      </c>
    </row>
    <row r="252" spans="1:96" x14ac:dyDescent="0.2">
      <c r="A252" s="154">
        <v>831</v>
      </c>
      <c r="B252" s="156" t="s">
        <v>275</v>
      </c>
      <c r="C252" s="325">
        <v>4625</v>
      </c>
      <c r="D252" s="270">
        <v>8.36</v>
      </c>
      <c r="E252" s="185"/>
      <c r="G252" s="272">
        <v>2940.1281200000003</v>
      </c>
      <c r="H252" s="272">
        <v>14748.57063</v>
      </c>
      <c r="I252" s="272"/>
      <c r="J252" s="272">
        <v>9155.2194399999989</v>
      </c>
      <c r="K252" s="272">
        <v>557.97573999999997</v>
      </c>
      <c r="L252" s="272">
        <v>2150.80296</v>
      </c>
      <c r="M252" s="272">
        <v>11863.99814</v>
      </c>
      <c r="N252" s="272">
        <v>2839.8980000000001</v>
      </c>
      <c r="O252" s="272">
        <v>7.7441400000000007</v>
      </c>
      <c r="P252" s="272">
        <v>286.25465000000003</v>
      </c>
      <c r="Q252" s="272">
        <v>9.3641500000000004</v>
      </c>
      <c r="R252" s="272">
        <v>3.4369999999999998E-2</v>
      </c>
      <c r="S252" s="272">
        <v>2626.2728999999999</v>
      </c>
      <c r="U252" s="272">
        <v>1492.1569299999999</v>
      </c>
      <c r="V252" s="272">
        <v>0</v>
      </c>
      <c r="W252" s="272">
        <v>0</v>
      </c>
      <c r="X252" s="272">
        <v>1134.1159700000001</v>
      </c>
      <c r="Y252" s="272">
        <v>-92.734320000000011</v>
      </c>
      <c r="Z252" s="272">
        <v>0</v>
      </c>
      <c r="AA252" s="272">
        <v>0</v>
      </c>
      <c r="AB252" s="272">
        <v>1226.8502900000001</v>
      </c>
      <c r="AD252" s="272">
        <v>3430.5532800000001</v>
      </c>
      <c r="AE252" s="157">
        <v>2645.1056800000001</v>
      </c>
      <c r="AF252" s="184">
        <v>18.83278</v>
      </c>
      <c r="AG252" s="272">
        <v>-1350.3596699999998</v>
      </c>
      <c r="AH252" s="272">
        <v>252.77045000000001</v>
      </c>
      <c r="AI252" s="184">
        <v>16.5</v>
      </c>
      <c r="AJ252" s="272">
        <v>367.82946999999996</v>
      </c>
      <c r="AL252" s="272">
        <v>9839.7644</v>
      </c>
      <c r="AM252" s="184">
        <v>0</v>
      </c>
      <c r="AN252" s="272">
        <v>-1734.27962</v>
      </c>
      <c r="AO252" s="343">
        <v>4596</v>
      </c>
      <c r="AP252" s="332">
        <v>8.4</v>
      </c>
      <c r="AQ252" s="448"/>
      <c r="AS252" s="455">
        <v>2917.1687700000002</v>
      </c>
      <c r="AT252" s="272">
        <v>14911.63291</v>
      </c>
      <c r="AU252" s="450"/>
      <c r="AV252" s="334">
        <v>9173.8618499999993</v>
      </c>
      <c r="AW252" s="334">
        <v>590.18180000000007</v>
      </c>
      <c r="AX252" s="334">
        <v>2170.8037999999997</v>
      </c>
      <c r="AY252" s="334">
        <v>11934.847449999999</v>
      </c>
      <c r="AZ252" s="334">
        <v>2350.0320000000002</v>
      </c>
      <c r="BA252" s="272">
        <v>9.3629099999999994</v>
      </c>
      <c r="BB252" s="333">
        <v>297.63472999999999</v>
      </c>
      <c r="BC252" s="272">
        <v>15.024299999999998</v>
      </c>
      <c r="BD252" s="272">
        <v>0.49933</v>
      </c>
      <c r="BE252" s="334">
        <v>2016.6684599999999</v>
      </c>
      <c r="BG252" s="331">
        <v>1462.7282499999999</v>
      </c>
      <c r="BH252" s="331">
        <v>0</v>
      </c>
      <c r="BI252" s="331">
        <v>0</v>
      </c>
      <c r="BJ252" s="334">
        <v>553.94020999999998</v>
      </c>
      <c r="BK252" s="331">
        <v>-92.734320000000011</v>
      </c>
      <c r="BL252" s="331">
        <v>0</v>
      </c>
      <c r="BM252" s="331">
        <v>0</v>
      </c>
      <c r="BN252" s="334">
        <v>646.67453</v>
      </c>
      <c r="BP252" s="334">
        <v>4077.2278099999994</v>
      </c>
      <c r="BQ252" s="311">
        <v>1912.1330800000001</v>
      </c>
      <c r="BR252" s="272">
        <v>-104.53538</v>
      </c>
      <c r="BS252" s="461">
        <v>-2679.8678300000001</v>
      </c>
      <c r="BT252" s="272">
        <v>1408.3398</v>
      </c>
      <c r="BU252" s="272">
        <v>134.32499999999999</v>
      </c>
      <c r="BV252" s="333">
        <v>689.68264999999997</v>
      </c>
      <c r="BX252" s="272">
        <v>9707.8559800000003</v>
      </c>
      <c r="BY252" s="469">
        <v>0</v>
      </c>
      <c r="BZ252" s="469">
        <v>-131.90842000000001</v>
      </c>
      <c r="CA252" s="552"/>
      <c r="CB252" s="335">
        <v>8.4</v>
      </c>
      <c r="CC252" s="471">
        <f t="shared" si="3"/>
        <v>8.4</v>
      </c>
      <c r="CD252" s="558"/>
      <c r="CE252" s="272"/>
      <c r="CF252" s="262"/>
      <c r="CI252" s="158">
        <v>0</v>
      </c>
      <c r="CJ252" s="331">
        <v>2723.3602429538687</v>
      </c>
      <c r="CK252" s="331">
        <v>2443.0757695458442</v>
      </c>
      <c r="CL252" s="331">
        <v>2730.1605151499634</v>
      </c>
      <c r="CM252" s="472">
        <v>2885.0660320599836</v>
      </c>
      <c r="CN252" s="472">
        <v>2946.6299830425319</v>
      </c>
      <c r="CO252" s="480">
        <v>-1020.398</v>
      </c>
      <c r="CP252" s="557"/>
      <c r="CQ252" s="474">
        <v>0</v>
      </c>
      <c r="CR252" s="474">
        <v>0</v>
      </c>
    </row>
    <row r="253" spans="1:96" x14ac:dyDescent="0.2">
      <c r="A253" s="154">
        <v>832</v>
      </c>
      <c r="B253" s="156" t="s">
        <v>276</v>
      </c>
      <c r="C253" s="325">
        <v>3731</v>
      </c>
      <c r="D253" s="270">
        <v>7.86</v>
      </c>
      <c r="E253" s="185"/>
      <c r="G253" s="272">
        <v>5304.7974100000001</v>
      </c>
      <c r="H253" s="272">
        <v>18341.47409</v>
      </c>
      <c r="I253" s="272"/>
      <c r="J253" s="272">
        <v>4808.0422699999999</v>
      </c>
      <c r="K253" s="272">
        <v>1281.88428</v>
      </c>
      <c r="L253" s="272">
        <v>1018.29185</v>
      </c>
      <c r="M253" s="272">
        <v>7108.2184000000007</v>
      </c>
      <c r="N253" s="272">
        <v>8657.2029999999995</v>
      </c>
      <c r="O253" s="272">
        <v>9.32226</v>
      </c>
      <c r="P253" s="272">
        <v>26.022509999999997</v>
      </c>
      <c r="Q253" s="272">
        <v>200.19615999999999</v>
      </c>
      <c r="R253" s="272">
        <v>63.69791</v>
      </c>
      <c r="S253" s="272">
        <v>2924.6803</v>
      </c>
      <c r="U253" s="272">
        <v>2374.1871599999999</v>
      </c>
      <c r="V253" s="272">
        <v>0</v>
      </c>
      <c r="W253" s="272">
        <v>0</v>
      </c>
      <c r="X253" s="272">
        <v>550.49314000000004</v>
      </c>
      <c r="Y253" s="272">
        <v>-10.632719999999999</v>
      </c>
      <c r="Z253" s="272">
        <v>0</v>
      </c>
      <c r="AA253" s="272">
        <v>0</v>
      </c>
      <c r="AB253" s="272">
        <v>561.12585999999999</v>
      </c>
      <c r="AD253" s="272">
        <v>16625.257299999997</v>
      </c>
      <c r="AE253" s="157">
        <v>2890.8104500000004</v>
      </c>
      <c r="AF253" s="184">
        <v>-33.86985</v>
      </c>
      <c r="AG253" s="272">
        <v>-4005.5120200000001</v>
      </c>
      <c r="AH253" s="272">
        <v>28.052769999999999</v>
      </c>
      <c r="AI253" s="184">
        <v>82.436390000000003</v>
      </c>
      <c r="AJ253" s="272">
        <v>1144.4601399999999</v>
      </c>
      <c r="AL253" s="272">
        <v>5175.433</v>
      </c>
      <c r="AM253" s="184">
        <v>46.988379999999999</v>
      </c>
      <c r="AN253" s="272">
        <v>-816.274</v>
      </c>
      <c r="AO253" s="343">
        <v>3657</v>
      </c>
      <c r="AP253" s="332">
        <v>7.9</v>
      </c>
      <c r="AQ253" s="448"/>
      <c r="AS253" s="455">
        <v>5616.81459</v>
      </c>
      <c r="AT253" s="272">
        <v>18000.974630000001</v>
      </c>
      <c r="AU253" s="450"/>
      <c r="AV253" s="334">
        <v>5061.2562400000006</v>
      </c>
      <c r="AW253" s="334">
        <v>1057.4489199999998</v>
      </c>
      <c r="AX253" s="334">
        <v>1083.615</v>
      </c>
      <c r="AY253" s="334">
        <v>7202.3201600000002</v>
      </c>
      <c r="AZ253" s="334">
        <v>8607.3760000000002</v>
      </c>
      <c r="BA253" s="272">
        <v>8.4774200000000004</v>
      </c>
      <c r="BB253" s="333">
        <v>21.249410000000001</v>
      </c>
      <c r="BC253" s="272">
        <v>202.46776</v>
      </c>
      <c r="BD253" s="272">
        <v>280.86420000000004</v>
      </c>
      <c r="BE253" s="334">
        <v>3381.2282599999999</v>
      </c>
      <c r="BG253" s="331">
        <v>1823.0666699999999</v>
      </c>
      <c r="BH253" s="334">
        <v>0</v>
      </c>
      <c r="BI253" s="334">
        <v>0</v>
      </c>
      <c r="BJ253" s="334">
        <v>1558.1615900000002</v>
      </c>
      <c r="BK253" s="334">
        <v>-10.632719999999999</v>
      </c>
      <c r="BL253" s="331">
        <v>0</v>
      </c>
      <c r="BM253" s="331">
        <v>0</v>
      </c>
      <c r="BN253" s="334">
        <v>1568.79431</v>
      </c>
      <c r="BP253" s="334">
        <v>18194.051609999999</v>
      </c>
      <c r="BQ253" s="311">
        <v>3085.8813700000001</v>
      </c>
      <c r="BR253" s="272">
        <v>-295.34689000000003</v>
      </c>
      <c r="BS253" s="461">
        <v>-2233.95217</v>
      </c>
      <c r="BT253" s="272">
        <v>40.185269999999996</v>
      </c>
      <c r="BU253" s="272">
        <v>175</v>
      </c>
      <c r="BV253" s="333">
        <v>2255.9487799999997</v>
      </c>
      <c r="BX253" s="272">
        <v>4359.1589999999997</v>
      </c>
      <c r="BY253" s="469">
        <v>200.33637999999999</v>
      </c>
      <c r="BZ253" s="469">
        <v>-816.274</v>
      </c>
      <c r="CA253" s="552"/>
      <c r="CB253" s="335">
        <v>7.9</v>
      </c>
      <c r="CC253" s="471">
        <f t="shared" si="3"/>
        <v>7.9</v>
      </c>
      <c r="CD253" s="558"/>
      <c r="CE253" s="272"/>
      <c r="CF253" s="262"/>
      <c r="CI253" s="158">
        <v>0</v>
      </c>
      <c r="CJ253" s="331">
        <v>9316.3395999685235</v>
      </c>
      <c r="CK253" s="331">
        <v>8932.6725679647079</v>
      </c>
      <c r="CL253" s="331">
        <v>8972.4442448355312</v>
      </c>
      <c r="CM253" s="472">
        <v>9156.01863309086</v>
      </c>
      <c r="CN253" s="472">
        <v>9378.5279319499859</v>
      </c>
      <c r="CO253" s="480">
        <v>-91.843000000000004</v>
      </c>
      <c r="CP253" s="557"/>
      <c r="CQ253" s="474">
        <v>76.13758</v>
      </c>
      <c r="CR253" s="474">
        <v>46.860570000000003</v>
      </c>
    </row>
    <row r="254" spans="1:96" x14ac:dyDescent="0.2">
      <c r="A254" s="154">
        <v>833</v>
      </c>
      <c r="B254" s="156" t="s">
        <v>277</v>
      </c>
      <c r="C254" s="325">
        <v>1705</v>
      </c>
      <c r="D254" s="270">
        <v>6.8600000000000012</v>
      </c>
      <c r="E254" s="185"/>
      <c r="G254" s="272">
        <v>1248.07465</v>
      </c>
      <c r="H254" s="272">
        <v>6090.2240700000002</v>
      </c>
      <c r="I254" s="272"/>
      <c r="J254" s="272">
        <v>2442.6396299999997</v>
      </c>
      <c r="K254" s="272">
        <v>249.56904999999998</v>
      </c>
      <c r="L254" s="272">
        <v>1321.0601200000001</v>
      </c>
      <c r="M254" s="272">
        <v>4013.2687999999998</v>
      </c>
      <c r="N254" s="272">
        <v>1688.5419999999999</v>
      </c>
      <c r="O254" s="272">
        <v>16.111799999999999</v>
      </c>
      <c r="P254" s="272">
        <v>239.05549999999999</v>
      </c>
      <c r="Q254" s="272">
        <v>89.856440000000006</v>
      </c>
      <c r="R254" s="272">
        <v>1.5053399999999999</v>
      </c>
      <c r="S254" s="272">
        <v>725.06878000000006</v>
      </c>
      <c r="U254" s="272">
        <v>584.52393999999993</v>
      </c>
      <c r="V254" s="272">
        <v>0</v>
      </c>
      <c r="W254" s="272">
        <v>0</v>
      </c>
      <c r="X254" s="272">
        <v>140.54483999999999</v>
      </c>
      <c r="Y254" s="272">
        <v>0</v>
      </c>
      <c r="Z254" s="272">
        <v>0</v>
      </c>
      <c r="AA254" s="272">
        <v>0</v>
      </c>
      <c r="AB254" s="272">
        <v>140.54483999999999</v>
      </c>
      <c r="AD254" s="272">
        <v>8698.9407900000006</v>
      </c>
      <c r="AE254" s="157">
        <v>725.06878000000006</v>
      </c>
      <c r="AF254" s="184">
        <v>0</v>
      </c>
      <c r="AG254" s="272">
        <v>-474.54121000000004</v>
      </c>
      <c r="AH254" s="272">
        <v>0</v>
      </c>
      <c r="AI254" s="184">
        <v>0</v>
      </c>
      <c r="AJ254" s="272">
        <v>6471.2552100000003</v>
      </c>
      <c r="AL254" s="272">
        <v>6746.1590000000006</v>
      </c>
      <c r="AM254" s="184">
        <v>33.5518</v>
      </c>
      <c r="AN254" s="272">
        <v>-291.73399999999998</v>
      </c>
      <c r="AO254" s="343">
        <v>1692</v>
      </c>
      <c r="AP254" s="332">
        <v>6.9</v>
      </c>
      <c r="AQ254" s="448"/>
      <c r="AS254" s="455">
        <v>1434.9791599999999</v>
      </c>
      <c r="AT254" s="272">
        <v>6543.8911699999999</v>
      </c>
      <c r="AU254" s="450"/>
      <c r="AV254" s="334">
        <v>2354.1955899999998</v>
      </c>
      <c r="AW254" s="334">
        <v>203.90348999999998</v>
      </c>
      <c r="AX254" s="334">
        <v>1394.6973600000001</v>
      </c>
      <c r="AY254" s="334">
        <v>3952.7964400000001</v>
      </c>
      <c r="AZ254" s="334">
        <v>1633.683</v>
      </c>
      <c r="BA254" s="272">
        <v>15.7446</v>
      </c>
      <c r="BB254" s="333">
        <v>255.66404999999997</v>
      </c>
      <c r="BC254" s="272">
        <v>83.481859999999998</v>
      </c>
      <c r="BD254" s="272">
        <v>0.86653999999999998</v>
      </c>
      <c r="BE254" s="334">
        <v>320.26330000000002</v>
      </c>
      <c r="BG254" s="331">
        <v>571.63314000000003</v>
      </c>
      <c r="BH254" s="331">
        <v>0</v>
      </c>
      <c r="BI254" s="331">
        <v>0</v>
      </c>
      <c r="BJ254" s="334">
        <v>-251.36984000000001</v>
      </c>
      <c r="BK254" s="334">
        <v>0</v>
      </c>
      <c r="BL254" s="331">
        <v>0</v>
      </c>
      <c r="BM254" s="331">
        <v>0</v>
      </c>
      <c r="BN254" s="334">
        <v>-251.36984000000001</v>
      </c>
      <c r="BP254" s="334">
        <v>8447.5709499999994</v>
      </c>
      <c r="BQ254" s="311">
        <v>320.26330000000002</v>
      </c>
      <c r="BR254" s="272">
        <v>0</v>
      </c>
      <c r="BS254" s="461">
        <v>-716.58700999999996</v>
      </c>
      <c r="BT254" s="272">
        <v>0</v>
      </c>
      <c r="BU254" s="272">
        <v>0</v>
      </c>
      <c r="BV254" s="333">
        <v>5908.6373800000001</v>
      </c>
      <c r="BX254" s="272">
        <v>6454.4250000000002</v>
      </c>
      <c r="BY254" s="469">
        <v>41.643599999999999</v>
      </c>
      <c r="BZ254" s="469">
        <v>-291.73399999999998</v>
      </c>
      <c r="CA254" s="552"/>
      <c r="CB254" s="335">
        <v>6.9</v>
      </c>
      <c r="CC254" s="471">
        <f t="shared" si="3"/>
        <v>6.9</v>
      </c>
      <c r="CD254" s="558"/>
      <c r="CE254" s="272"/>
      <c r="CF254" s="262"/>
      <c r="CI254" s="158">
        <v>0</v>
      </c>
      <c r="CJ254" s="331">
        <v>1698.709895301293</v>
      </c>
      <c r="CK254" s="331">
        <v>1655.9477192090474</v>
      </c>
      <c r="CL254" s="331">
        <v>1491.7548224416516</v>
      </c>
      <c r="CM254" s="472">
        <v>1671.5809189122263</v>
      </c>
      <c r="CN254" s="472">
        <v>1732.75920748777</v>
      </c>
      <c r="CO254" s="480">
        <v>-423.39400000000001</v>
      </c>
      <c r="CP254" s="557"/>
      <c r="CQ254" s="474">
        <v>0</v>
      </c>
      <c r="CR254" s="474">
        <v>0</v>
      </c>
    </row>
    <row r="255" spans="1:96" x14ac:dyDescent="0.2">
      <c r="A255" s="154">
        <v>834</v>
      </c>
      <c r="B255" s="156" t="s">
        <v>278</v>
      </c>
      <c r="C255" s="325">
        <v>5844</v>
      </c>
      <c r="D255" s="270">
        <v>8.61</v>
      </c>
      <c r="E255" s="185"/>
      <c r="G255" s="272">
        <v>4238.2288899999994</v>
      </c>
      <c r="H255" s="272">
        <v>18986.65065</v>
      </c>
      <c r="I255" s="272"/>
      <c r="J255" s="272">
        <v>11209.88631</v>
      </c>
      <c r="K255" s="272">
        <v>1236.7964399999998</v>
      </c>
      <c r="L255" s="272">
        <v>1983.9493500000001</v>
      </c>
      <c r="M255" s="272">
        <v>14430.632099999999</v>
      </c>
      <c r="N255" s="272">
        <v>4172.9570000000003</v>
      </c>
      <c r="O255" s="272">
        <v>1.51369</v>
      </c>
      <c r="P255" s="272">
        <v>63.500680000000003</v>
      </c>
      <c r="Q255" s="272">
        <v>63.285230000000006</v>
      </c>
      <c r="R255" s="272">
        <v>3.25265</v>
      </c>
      <c r="S255" s="272">
        <v>3856.8602099999998</v>
      </c>
      <c r="U255" s="272">
        <v>2503.0287000000003</v>
      </c>
      <c r="V255" s="272">
        <v>0</v>
      </c>
      <c r="W255" s="272">
        <v>0</v>
      </c>
      <c r="X255" s="272">
        <v>1353.83151</v>
      </c>
      <c r="Y255" s="272">
        <v>317.20253000000002</v>
      </c>
      <c r="Z255" s="272">
        <v>-400</v>
      </c>
      <c r="AA255" s="272">
        <v>0</v>
      </c>
      <c r="AB255" s="272">
        <v>1436.62898</v>
      </c>
      <c r="AD255" s="272">
        <v>11304.29545</v>
      </c>
      <c r="AE255" s="157">
        <v>3823.2890600000001</v>
      </c>
      <c r="AF255" s="184">
        <v>-33.571150000000003</v>
      </c>
      <c r="AG255" s="272">
        <v>-6591.6947699999992</v>
      </c>
      <c r="AH255" s="272">
        <v>584.25045</v>
      </c>
      <c r="AI255" s="184">
        <v>47.165260000000004</v>
      </c>
      <c r="AJ255" s="272">
        <v>1496.6934099999999</v>
      </c>
      <c r="AL255" s="272">
        <v>6072.1980000000003</v>
      </c>
      <c r="AM255" s="184">
        <v>0</v>
      </c>
      <c r="AN255" s="272">
        <v>1390.1020000000001</v>
      </c>
      <c r="AO255" s="343">
        <v>5832</v>
      </c>
      <c r="AP255" s="332">
        <v>8.6</v>
      </c>
      <c r="AQ255" s="448"/>
      <c r="AS255" s="455">
        <v>4467.51721</v>
      </c>
      <c r="AT255" s="272">
        <v>20028.969969999998</v>
      </c>
      <c r="AU255" s="450"/>
      <c r="AV255" s="334">
        <v>10786.72365</v>
      </c>
      <c r="AW255" s="334">
        <v>984.24322999999993</v>
      </c>
      <c r="AX255" s="334">
        <v>2086.6067199999998</v>
      </c>
      <c r="AY255" s="334">
        <v>13857.5736</v>
      </c>
      <c r="AZ255" s="334">
        <v>4427.2060000000001</v>
      </c>
      <c r="BA255" s="272">
        <v>1.51369</v>
      </c>
      <c r="BB255" s="333">
        <v>357.23364000000004</v>
      </c>
      <c r="BC255" s="272">
        <v>68.322630000000004</v>
      </c>
      <c r="BD255" s="272">
        <v>2.2321200000000001</v>
      </c>
      <c r="BE255" s="334">
        <v>2503.6822299999999</v>
      </c>
      <c r="BG255" s="331">
        <v>1841.6461899999999</v>
      </c>
      <c r="BH255" s="331">
        <v>0</v>
      </c>
      <c r="BI255" s="331">
        <v>1784.5972099999999</v>
      </c>
      <c r="BJ255" s="334">
        <v>-1122.5611699999999</v>
      </c>
      <c r="BK255" s="334">
        <v>-117.11413</v>
      </c>
      <c r="BL255" s="334">
        <v>0</v>
      </c>
      <c r="BM255" s="331">
        <v>0</v>
      </c>
      <c r="BN255" s="334">
        <v>-1005.44704</v>
      </c>
      <c r="BP255" s="334">
        <v>10298.848410000001</v>
      </c>
      <c r="BQ255" s="311">
        <v>2557.6512499999999</v>
      </c>
      <c r="BR255" s="272">
        <v>1838.5662299999999</v>
      </c>
      <c r="BS255" s="461">
        <v>-13463.0509</v>
      </c>
      <c r="BT255" s="272">
        <v>166.7</v>
      </c>
      <c r="BU255" s="272">
        <v>27.722000000000001</v>
      </c>
      <c r="BV255" s="333">
        <v>2606.7516900000001</v>
      </c>
      <c r="BX255" s="272">
        <v>14812.3</v>
      </c>
      <c r="BY255" s="469">
        <v>0</v>
      </c>
      <c r="BZ255" s="469">
        <v>8740.1020000000008</v>
      </c>
      <c r="CA255" s="552"/>
      <c r="CB255" s="335">
        <v>8.6</v>
      </c>
      <c r="CC255" s="471">
        <f t="shared" si="3"/>
        <v>8.6</v>
      </c>
      <c r="CD255" s="558"/>
      <c r="CE255" s="272"/>
      <c r="CF255" s="262"/>
      <c r="CI255" s="158">
        <v>0</v>
      </c>
      <c r="CJ255" s="331">
        <v>4575.2120430989053</v>
      </c>
      <c r="CK255" s="331">
        <v>4586.4599314818715</v>
      </c>
      <c r="CL255" s="331">
        <v>4269.2291655461122</v>
      </c>
      <c r="CM255" s="472">
        <v>4470.7803970100795</v>
      </c>
      <c r="CN255" s="472">
        <v>4549.4594587458541</v>
      </c>
      <c r="CO255" s="480">
        <v>-1454.6</v>
      </c>
      <c r="CP255" s="557"/>
      <c r="CQ255" s="474">
        <v>3.6472800000000003</v>
      </c>
      <c r="CR255" s="474">
        <v>69.984830000000002</v>
      </c>
    </row>
    <row r="256" spans="1:96" x14ac:dyDescent="0.2">
      <c r="A256" s="154">
        <v>837</v>
      </c>
      <c r="B256" s="156" t="s">
        <v>279</v>
      </c>
      <c r="C256" s="325">
        <v>255050</v>
      </c>
      <c r="D256" s="270">
        <v>7.61</v>
      </c>
      <c r="E256" s="185"/>
      <c r="G256" s="272">
        <v>385780.83058999997</v>
      </c>
      <c r="H256" s="272">
        <v>968323.63614999992</v>
      </c>
      <c r="I256" s="272"/>
      <c r="J256" s="272">
        <v>477772.95120999997</v>
      </c>
      <c r="K256" s="272">
        <v>97982.395640000002</v>
      </c>
      <c r="L256" s="272">
        <v>105302.04715000001</v>
      </c>
      <c r="M256" s="272">
        <v>681057.39399999997</v>
      </c>
      <c r="N256" s="272">
        <v>58343.614000000001</v>
      </c>
      <c r="O256" s="272">
        <v>9247.3124200000002</v>
      </c>
      <c r="P256" s="272">
        <v>21439.796280000002</v>
      </c>
      <c r="Q256" s="272">
        <v>40707.187109999999</v>
      </c>
      <c r="R256" s="272">
        <v>672.58857</v>
      </c>
      <c r="S256" s="272">
        <v>187998.04861000003</v>
      </c>
      <c r="U256" s="272">
        <v>132683.38707</v>
      </c>
      <c r="V256" s="272">
        <v>0</v>
      </c>
      <c r="W256" s="272">
        <v>0</v>
      </c>
      <c r="X256" s="272">
        <v>55314.661540000001</v>
      </c>
      <c r="Y256" s="272">
        <v>-1708.17365</v>
      </c>
      <c r="Z256" s="272">
        <v>0</v>
      </c>
      <c r="AA256" s="272">
        <v>-1096.3970200000001</v>
      </c>
      <c r="AB256" s="272">
        <v>58119.232210000002</v>
      </c>
      <c r="AD256" s="272">
        <v>664412.97542000003</v>
      </c>
      <c r="AE256" s="157">
        <v>167239.41797000001</v>
      </c>
      <c r="AF256" s="184">
        <v>-20758.630639999999</v>
      </c>
      <c r="AG256" s="272">
        <v>-232389.14044999998</v>
      </c>
      <c r="AH256" s="272">
        <v>3169.9192499999999</v>
      </c>
      <c r="AI256" s="184">
        <v>33582.901740000001</v>
      </c>
      <c r="AJ256" s="272">
        <v>91878.169120000006</v>
      </c>
      <c r="AL256" s="272">
        <v>853716.04979000008</v>
      </c>
      <c r="AM256" s="184">
        <v>8800.047410000001</v>
      </c>
      <c r="AN256" s="272">
        <v>-72169.367719999995</v>
      </c>
      <c r="AO256" s="343">
        <v>260179</v>
      </c>
      <c r="AP256" s="332">
        <v>7.6</v>
      </c>
      <c r="AQ256" s="448"/>
      <c r="AS256" s="455">
        <v>322164.74508999998</v>
      </c>
      <c r="AT256" s="272">
        <v>973707.63435000007</v>
      </c>
      <c r="AU256" s="450"/>
      <c r="AV256" s="334">
        <v>458298.66830000002</v>
      </c>
      <c r="AW256" s="334">
        <v>84092.926779999994</v>
      </c>
      <c r="AX256" s="334">
        <v>108788.95540000001</v>
      </c>
      <c r="AY256" s="334">
        <v>651180.55047999998</v>
      </c>
      <c r="AZ256" s="334">
        <v>83136.456999999995</v>
      </c>
      <c r="BA256" s="272">
        <v>18370.4846</v>
      </c>
      <c r="BB256" s="333">
        <v>25479.51728</v>
      </c>
      <c r="BC256" s="272">
        <v>33264.62285</v>
      </c>
      <c r="BD256" s="272">
        <v>268.31584000000004</v>
      </c>
      <c r="BE256" s="334">
        <v>109028.87977</v>
      </c>
      <c r="BG256" s="331">
        <v>140738.16694</v>
      </c>
      <c r="BH256" s="331">
        <v>204293.7335</v>
      </c>
      <c r="BI256" s="331">
        <v>0</v>
      </c>
      <c r="BJ256" s="334">
        <v>172584.44633000001</v>
      </c>
      <c r="BK256" s="334">
        <v>-13339.72516</v>
      </c>
      <c r="BL256" s="334">
        <v>0</v>
      </c>
      <c r="BM256" s="331">
        <v>-147.91176999999999</v>
      </c>
      <c r="BN256" s="334">
        <v>186072.08325999998</v>
      </c>
      <c r="BP256" s="334">
        <v>850485.05865999998</v>
      </c>
      <c r="BQ256" s="311">
        <v>301690.59187</v>
      </c>
      <c r="BR256" s="272">
        <v>-11632.02126</v>
      </c>
      <c r="BS256" s="461">
        <v>-314022.34613000002</v>
      </c>
      <c r="BT256" s="272">
        <v>3353.7908399999997</v>
      </c>
      <c r="BU256" s="272">
        <v>205281.46351</v>
      </c>
      <c r="BV256" s="333">
        <v>76102.675340000002</v>
      </c>
      <c r="BX256" s="272">
        <v>943620.9768399999</v>
      </c>
      <c r="BY256" s="469">
        <v>-282892.66983999999</v>
      </c>
      <c r="BZ256" s="469">
        <v>89904.927030000006</v>
      </c>
      <c r="CA256" s="552"/>
      <c r="CB256" s="335">
        <v>7.6</v>
      </c>
      <c r="CC256" s="471">
        <f t="shared" si="3"/>
        <v>7.6</v>
      </c>
      <c r="CD256" s="558"/>
      <c r="CE256" s="272"/>
      <c r="CF256" s="262"/>
      <c r="CI256" s="158">
        <v>0</v>
      </c>
      <c r="CJ256" s="331">
        <v>120939.56945832836</v>
      </c>
      <c r="CK256" s="331">
        <v>138894.90982708521</v>
      </c>
      <c r="CL256" s="331">
        <v>139408.12008398434</v>
      </c>
      <c r="CM256" s="472">
        <v>154738.24206002231</v>
      </c>
      <c r="CN256" s="472">
        <v>158979.84093591344</v>
      </c>
      <c r="CO256" s="480">
        <v>86962.315000000002</v>
      </c>
      <c r="CP256" s="557"/>
      <c r="CQ256" s="474">
        <v>3297.7314900000001</v>
      </c>
      <c r="CR256" s="474">
        <v>367.48721999999998</v>
      </c>
    </row>
    <row r="257" spans="1:96" x14ac:dyDescent="0.2">
      <c r="A257" s="154">
        <v>844</v>
      </c>
      <c r="B257" s="156" t="s">
        <v>280</v>
      </c>
      <c r="C257" s="325">
        <v>1412</v>
      </c>
      <c r="D257" s="270">
        <v>8.86</v>
      </c>
      <c r="E257" s="185"/>
      <c r="G257" s="272">
        <v>2587.4205999999999</v>
      </c>
      <c r="H257" s="272">
        <v>6336.8503499999997</v>
      </c>
      <c r="I257" s="272"/>
      <c r="J257" s="272">
        <v>1997.44795</v>
      </c>
      <c r="K257" s="272">
        <v>411.10220000000004</v>
      </c>
      <c r="L257" s="272">
        <v>604.48023999999998</v>
      </c>
      <c r="M257" s="272">
        <v>3013.0303900000004</v>
      </c>
      <c r="N257" s="272">
        <v>530.29399999999998</v>
      </c>
      <c r="O257" s="272">
        <v>10.17004</v>
      </c>
      <c r="P257" s="272">
        <v>107.31984</v>
      </c>
      <c r="Q257" s="272">
        <v>535.32871</v>
      </c>
      <c r="R257" s="272">
        <v>4.8285799999999997</v>
      </c>
      <c r="S257" s="272">
        <v>227.24497</v>
      </c>
      <c r="U257" s="272">
        <v>297.74678999999998</v>
      </c>
      <c r="V257" s="272">
        <v>0</v>
      </c>
      <c r="W257" s="272">
        <v>0</v>
      </c>
      <c r="X257" s="272">
        <v>-70.501820000000009</v>
      </c>
      <c r="Y257" s="272">
        <v>-8.1368399999999994</v>
      </c>
      <c r="Z257" s="272">
        <v>0</v>
      </c>
      <c r="AA257" s="272">
        <v>0</v>
      </c>
      <c r="AB257" s="272">
        <v>-62.364980000000003</v>
      </c>
      <c r="AD257" s="272">
        <v>462.89148999999992</v>
      </c>
      <c r="AE257" s="157">
        <v>426.44496999999996</v>
      </c>
      <c r="AF257" s="184">
        <v>199.2</v>
      </c>
      <c r="AG257" s="272">
        <v>-207.37461999999999</v>
      </c>
      <c r="AH257" s="272">
        <v>0</v>
      </c>
      <c r="AI257" s="184">
        <v>0</v>
      </c>
      <c r="AJ257" s="272">
        <v>2515.7205199999999</v>
      </c>
      <c r="AL257" s="272">
        <v>4301.7042899999997</v>
      </c>
      <c r="AM257" s="184">
        <v>30</v>
      </c>
      <c r="AN257" s="272">
        <v>-543.30070999999998</v>
      </c>
      <c r="AO257" s="343">
        <v>1388</v>
      </c>
      <c r="AP257" s="332">
        <v>9.9</v>
      </c>
      <c r="AQ257" s="448"/>
      <c r="AS257" s="455">
        <v>2561.7827000000002</v>
      </c>
      <c r="AT257" s="272">
        <v>6219.5658600000006</v>
      </c>
      <c r="AU257" s="450"/>
      <c r="AV257" s="334">
        <v>2272.1113500000001</v>
      </c>
      <c r="AW257" s="334">
        <v>361.61187999999999</v>
      </c>
      <c r="AX257" s="334">
        <v>702.57619</v>
      </c>
      <c r="AY257" s="334">
        <v>3336.2994199999998</v>
      </c>
      <c r="AZ257" s="334">
        <v>757.41200000000003</v>
      </c>
      <c r="BA257" s="272">
        <v>11.40211</v>
      </c>
      <c r="BB257" s="333">
        <v>104.58448</v>
      </c>
      <c r="BC257" s="272">
        <v>508.26764000000003</v>
      </c>
      <c r="BD257" s="272">
        <v>6.3681200000000002</v>
      </c>
      <c r="BE257" s="334">
        <v>844.64541000000008</v>
      </c>
      <c r="BG257" s="331">
        <v>407.14484000000004</v>
      </c>
      <c r="BH257" s="334">
        <v>0</v>
      </c>
      <c r="BI257" s="331">
        <v>0</v>
      </c>
      <c r="BJ257" s="334">
        <v>437.50056999999998</v>
      </c>
      <c r="BK257" s="334">
        <v>-18.341639999999998</v>
      </c>
      <c r="BL257" s="334">
        <v>0</v>
      </c>
      <c r="BM257" s="334">
        <v>0</v>
      </c>
      <c r="BN257" s="334">
        <v>455.84221000000002</v>
      </c>
      <c r="BP257" s="334">
        <v>918.7337</v>
      </c>
      <c r="BQ257" s="311">
        <v>839.52760000000001</v>
      </c>
      <c r="BR257" s="272">
        <v>-5.1178100000000004</v>
      </c>
      <c r="BS257" s="461">
        <v>-106.46238000000001</v>
      </c>
      <c r="BT257" s="272">
        <v>0</v>
      </c>
      <c r="BU257" s="272">
        <v>250.04161999999999</v>
      </c>
      <c r="BV257" s="333">
        <v>3748.0971799999998</v>
      </c>
      <c r="BX257" s="272">
        <v>4246.6729999999998</v>
      </c>
      <c r="BY257" s="469">
        <v>30</v>
      </c>
      <c r="BZ257" s="469">
        <v>-55.031289999999998</v>
      </c>
      <c r="CA257" s="552"/>
      <c r="CB257" s="335">
        <v>9.9</v>
      </c>
      <c r="CC257" s="471">
        <f t="shared" si="3"/>
        <v>9.9</v>
      </c>
      <c r="CD257" s="558"/>
      <c r="CE257" s="272"/>
      <c r="CF257" s="262"/>
      <c r="CI257" s="158">
        <v>0</v>
      </c>
      <c r="CJ257" s="331">
        <v>875.09469512417263</v>
      </c>
      <c r="CK257" s="331">
        <v>969.83112966804265</v>
      </c>
      <c r="CL257" s="331">
        <v>1060.2597683952365</v>
      </c>
      <c r="CM257" s="472">
        <v>1173.3806889228542</v>
      </c>
      <c r="CN257" s="472">
        <v>1139.5752320402948</v>
      </c>
      <c r="CO257" s="480">
        <v>-318.23399999999998</v>
      </c>
      <c r="CP257" s="557"/>
      <c r="CQ257" s="474">
        <v>0</v>
      </c>
      <c r="CR257" s="474">
        <v>0</v>
      </c>
    </row>
    <row r="258" spans="1:96" x14ac:dyDescent="0.2">
      <c r="A258" s="154">
        <v>845</v>
      </c>
      <c r="B258" s="156" t="s">
        <v>281</v>
      </c>
      <c r="C258" s="325">
        <v>2831</v>
      </c>
      <c r="D258" s="270">
        <v>7.3599999999999994</v>
      </c>
      <c r="E258" s="185"/>
      <c r="G258" s="272">
        <v>3394.0623500000002</v>
      </c>
      <c r="H258" s="272">
        <v>12836.01822</v>
      </c>
      <c r="I258" s="272"/>
      <c r="J258" s="272">
        <v>4136.9137799999999</v>
      </c>
      <c r="K258" s="272">
        <v>696.8293000000001</v>
      </c>
      <c r="L258" s="272">
        <v>2908.70757</v>
      </c>
      <c r="M258" s="272">
        <v>7742.4506500000007</v>
      </c>
      <c r="N258" s="272">
        <v>4044.857</v>
      </c>
      <c r="O258" s="272">
        <v>169.35512</v>
      </c>
      <c r="P258" s="272">
        <v>79.808059999999998</v>
      </c>
      <c r="Q258" s="272">
        <v>687.06282999999996</v>
      </c>
      <c r="R258" s="272">
        <v>120.42999</v>
      </c>
      <c r="S258" s="272">
        <v>3001.5316800000001</v>
      </c>
      <c r="U258" s="272">
        <v>1072.5616499999999</v>
      </c>
      <c r="V258" s="272">
        <v>0</v>
      </c>
      <c r="W258" s="272">
        <v>0</v>
      </c>
      <c r="X258" s="272">
        <v>1928.97003</v>
      </c>
      <c r="Y258" s="272">
        <v>-163.34110999999999</v>
      </c>
      <c r="Z258" s="272">
        <v>2040</v>
      </c>
      <c r="AA258" s="272">
        <v>0</v>
      </c>
      <c r="AB258" s="272">
        <v>52.311140000000002</v>
      </c>
      <c r="AD258" s="272">
        <v>19312.337120000004</v>
      </c>
      <c r="AE258" s="157">
        <v>3001.5316800000001</v>
      </c>
      <c r="AF258" s="184">
        <v>0</v>
      </c>
      <c r="AG258" s="272">
        <v>-1466.5605800000001</v>
      </c>
      <c r="AH258" s="272">
        <v>0</v>
      </c>
      <c r="AI258" s="184">
        <v>20.802</v>
      </c>
      <c r="AJ258" s="272">
        <v>10951.343640000001</v>
      </c>
      <c r="AL258" s="272">
        <v>1429.1223799999998</v>
      </c>
      <c r="AM258" s="184">
        <v>20</v>
      </c>
      <c r="AN258" s="272">
        <v>-1392.79384</v>
      </c>
      <c r="AO258" s="343">
        <v>2826</v>
      </c>
      <c r="AP258" s="332">
        <v>6.9</v>
      </c>
      <c r="AQ258" s="448"/>
      <c r="AS258" s="455">
        <v>3143.8213500000002</v>
      </c>
      <c r="AT258" s="272">
        <v>12474.08423</v>
      </c>
      <c r="AU258" s="450"/>
      <c r="AV258" s="334">
        <v>3817.60394</v>
      </c>
      <c r="AW258" s="334">
        <v>725.25025000000005</v>
      </c>
      <c r="AX258" s="334">
        <v>3026.9440099999997</v>
      </c>
      <c r="AY258" s="334">
        <v>7569.7982000000002</v>
      </c>
      <c r="AZ258" s="334">
        <v>4263.1019999999999</v>
      </c>
      <c r="BA258" s="272">
        <v>265.85163</v>
      </c>
      <c r="BB258" s="333">
        <v>47.764620000000001</v>
      </c>
      <c r="BC258" s="272">
        <v>601.42703000000006</v>
      </c>
      <c r="BD258" s="272">
        <v>144.17929999999998</v>
      </c>
      <c r="BE258" s="334">
        <v>3177.9720600000001</v>
      </c>
      <c r="BG258" s="331">
        <v>967.52317000000005</v>
      </c>
      <c r="BH258" s="334">
        <v>0</v>
      </c>
      <c r="BI258" s="331">
        <v>0</v>
      </c>
      <c r="BJ258" s="334">
        <v>2210.4488900000001</v>
      </c>
      <c r="BK258" s="334">
        <v>-141.28196</v>
      </c>
      <c r="BL258" s="334">
        <v>-40</v>
      </c>
      <c r="BM258" s="331">
        <v>0</v>
      </c>
      <c r="BN258" s="334">
        <v>2391.7308499999999</v>
      </c>
      <c r="BP258" s="334">
        <v>21704.067970000004</v>
      </c>
      <c r="BQ258" s="311" t="e">
        <v>#VALUE!</v>
      </c>
      <c r="BR258" s="272" t="e">
        <v>#VALUE!</v>
      </c>
      <c r="BS258" s="461">
        <v>-1653.94354</v>
      </c>
      <c r="BT258" s="272">
        <v>0</v>
      </c>
      <c r="BU258" s="272">
        <v>1.21</v>
      </c>
      <c r="BV258" s="333">
        <v>10935.736650000001</v>
      </c>
      <c r="BX258" s="272">
        <v>1413.2370000000001</v>
      </c>
      <c r="BY258" s="469" t="e">
        <v>#VALUE!</v>
      </c>
      <c r="BZ258" s="469" t="e">
        <v>#VALUE!</v>
      </c>
      <c r="CA258" s="552"/>
      <c r="CB258" s="335">
        <v>6.9</v>
      </c>
      <c r="CC258" s="471">
        <f t="shared" si="3"/>
        <v>6.9</v>
      </c>
      <c r="CD258" s="558"/>
      <c r="CE258" s="272"/>
      <c r="CF258" s="262"/>
      <c r="CI258" s="158">
        <v>0</v>
      </c>
      <c r="CJ258" s="331">
        <v>4259.9538641621521</v>
      </c>
      <c r="CK258" s="331">
        <v>4161.904874978728</v>
      </c>
      <c r="CL258" s="331">
        <v>4480.2509098835571</v>
      </c>
      <c r="CM258" s="472">
        <v>4751.3838934067799</v>
      </c>
      <c r="CN258" s="472">
        <v>4974.3873248167429</v>
      </c>
      <c r="CO258" s="480">
        <v>-21.146999999999998</v>
      </c>
      <c r="CP258" s="557"/>
      <c r="CQ258" s="474">
        <v>0</v>
      </c>
      <c r="CR258" s="474">
        <v>0</v>
      </c>
    </row>
    <row r="259" spans="1:96" x14ac:dyDescent="0.2">
      <c r="A259" s="154">
        <v>846</v>
      </c>
      <c r="B259" s="156" t="s">
        <v>282</v>
      </c>
      <c r="C259" s="325">
        <v>4758</v>
      </c>
      <c r="D259" s="270">
        <v>9.86</v>
      </c>
      <c r="E259" s="185"/>
      <c r="G259" s="272">
        <v>3550.2271700000001</v>
      </c>
      <c r="H259" s="272">
        <v>15892.698060000001</v>
      </c>
      <c r="I259" s="272"/>
      <c r="J259" s="272">
        <v>8303.2570199999991</v>
      </c>
      <c r="K259" s="272">
        <v>958.40814999999998</v>
      </c>
      <c r="L259" s="272">
        <v>1712.8218100000001</v>
      </c>
      <c r="M259" s="272">
        <v>10974.48698</v>
      </c>
      <c r="N259" s="272">
        <v>6967.3419999999996</v>
      </c>
      <c r="O259" s="272">
        <v>101.26655000000001</v>
      </c>
      <c r="P259" s="272">
        <v>210.38461999999998</v>
      </c>
      <c r="Q259" s="272">
        <v>50.904220000000002</v>
      </c>
      <c r="R259" s="272">
        <v>4.5649100000000002</v>
      </c>
      <c r="S259" s="272">
        <v>5536.5793300000005</v>
      </c>
      <c r="U259" s="272">
        <v>1305.6763799999999</v>
      </c>
      <c r="V259" s="272">
        <v>0</v>
      </c>
      <c r="W259" s="272">
        <v>129.72552999999999</v>
      </c>
      <c r="X259" s="272">
        <v>4101.17742</v>
      </c>
      <c r="Y259" s="272">
        <v>0</v>
      </c>
      <c r="Z259" s="272">
        <v>0</v>
      </c>
      <c r="AA259" s="272">
        <v>0</v>
      </c>
      <c r="AB259" s="272">
        <v>4101.17742</v>
      </c>
      <c r="AD259" s="272">
        <v>7525.2472900000002</v>
      </c>
      <c r="AE259" s="157">
        <v>5517.7414000000008</v>
      </c>
      <c r="AF259" s="184">
        <v>110.88760000000001</v>
      </c>
      <c r="AG259" s="272">
        <v>-813.54849999999999</v>
      </c>
      <c r="AH259" s="272">
        <v>83.837000000000003</v>
      </c>
      <c r="AI259" s="184">
        <v>1467.0158100000001</v>
      </c>
      <c r="AJ259" s="272">
        <v>5435.3857600000001</v>
      </c>
      <c r="AL259" s="272">
        <v>11698.24712</v>
      </c>
      <c r="AM259" s="184">
        <v>-210.41667000000001</v>
      </c>
      <c r="AN259" s="272">
        <v>-1977.10572</v>
      </c>
      <c r="AO259" s="343">
        <v>4662</v>
      </c>
      <c r="AP259" s="332">
        <v>9.6999999999999993</v>
      </c>
      <c r="AQ259" s="448"/>
      <c r="AS259" s="455">
        <v>3838.7371800000001</v>
      </c>
      <c r="AT259" s="272">
        <v>16874.78009</v>
      </c>
      <c r="AU259" s="450"/>
      <c r="AV259" s="334">
        <v>8278.4220000000005</v>
      </c>
      <c r="AW259" s="334">
        <v>763.25169999999991</v>
      </c>
      <c r="AX259" s="334">
        <v>1751.9383</v>
      </c>
      <c r="AY259" s="334">
        <v>10793.611999999999</v>
      </c>
      <c r="AZ259" s="334">
        <v>6044.4260000000004</v>
      </c>
      <c r="BA259" s="272">
        <v>185.60368</v>
      </c>
      <c r="BB259" s="333">
        <v>180.43173999999999</v>
      </c>
      <c r="BC259" s="272">
        <v>62.947569999999999</v>
      </c>
      <c r="BD259" s="272">
        <v>2.2539699999999998</v>
      </c>
      <c r="BE259" s="334">
        <v>3867.8606299999997</v>
      </c>
      <c r="BG259" s="331">
        <v>1096.0509399999999</v>
      </c>
      <c r="BH259" s="331">
        <v>0</v>
      </c>
      <c r="BI259" s="331">
        <v>0</v>
      </c>
      <c r="BJ259" s="334">
        <v>2771.80969</v>
      </c>
      <c r="BK259" s="334">
        <v>0</v>
      </c>
      <c r="BL259" s="331">
        <v>0</v>
      </c>
      <c r="BM259" s="331">
        <v>0</v>
      </c>
      <c r="BN259" s="334">
        <v>2771.80969</v>
      </c>
      <c r="BP259" s="334">
        <v>10297.056980000001</v>
      </c>
      <c r="BQ259" s="311">
        <v>3894.8606299999997</v>
      </c>
      <c r="BR259" s="272">
        <v>27</v>
      </c>
      <c r="BS259" s="461">
        <v>-1414.8168500000002</v>
      </c>
      <c r="BT259" s="272">
        <v>200</v>
      </c>
      <c r="BU259" s="272">
        <v>0</v>
      </c>
      <c r="BV259" s="333">
        <v>7586.3088399999997</v>
      </c>
      <c r="BX259" s="272">
        <v>9721.1414000000004</v>
      </c>
      <c r="BY259" s="469">
        <v>117.16666000000001</v>
      </c>
      <c r="BZ259" s="469">
        <v>-1977.10572</v>
      </c>
      <c r="CA259" s="552"/>
      <c r="CB259" s="335">
        <v>9.6</v>
      </c>
      <c r="CC259" s="471">
        <f t="shared" si="3"/>
        <v>9.6</v>
      </c>
      <c r="CD259" s="558"/>
      <c r="CE259" s="272"/>
      <c r="CF259" s="262"/>
      <c r="CG259" s="260"/>
      <c r="CI259" s="158">
        <v>0</v>
      </c>
      <c r="CJ259" s="331">
        <v>6155.7308050663942</v>
      </c>
      <c r="CK259" s="331">
        <v>5887.0114048035903</v>
      </c>
      <c r="CL259" s="331">
        <v>6091.2106255235631</v>
      </c>
      <c r="CM259" s="472">
        <v>6535.6112437850261</v>
      </c>
      <c r="CN259" s="472">
        <v>6613.6676096927549</v>
      </c>
      <c r="CO259" s="480">
        <v>-346.96199999999999</v>
      </c>
      <c r="CP259" s="557"/>
      <c r="CQ259" s="474">
        <v>0</v>
      </c>
      <c r="CR259" s="474">
        <v>0</v>
      </c>
    </row>
    <row r="260" spans="1:96" x14ac:dyDescent="0.2">
      <c r="A260" s="154">
        <v>848</v>
      </c>
      <c r="B260" s="156" t="s">
        <v>283</v>
      </c>
      <c r="C260" s="325">
        <v>4066</v>
      </c>
      <c r="D260" s="270">
        <v>9.11</v>
      </c>
      <c r="E260" s="185"/>
      <c r="G260" s="272">
        <v>11119.427750000001</v>
      </c>
      <c r="H260" s="272">
        <v>23597.14618</v>
      </c>
      <c r="I260" s="272"/>
      <c r="J260" s="272">
        <v>6052.6901699999999</v>
      </c>
      <c r="K260" s="272">
        <v>867.72185999999999</v>
      </c>
      <c r="L260" s="272">
        <v>1044.64788</v>
      </c>
      <c r="M260" s="272">
        <v>7965.0599099999999</v>
      </c>
      <c r="N260" s="272">
        <v>6427.2219999999998</v>
      </c>
      <c r="O260" s="272">
        <v>95.579589999999996</v>
      </c>
      <c r="P260" s="272">
        <v>316.30809000000005</v>
      </c>
      <c r="Q260" s="272">
        <v>130.01996</v>
      </c>
      <c r="R260" s="272">
        <v>4.1973900000000004</v>
      </c>
      <c r="S260" s="272">
        <v>1819.6575500000001</v>
      </c>
      <c r="U260" s="272">
        <v>1298.87408</v>
      </c>
      <c r="V260" s="272">
        <v>0</v>
      </c>
      <c r="W260" s="272">
        <v>0</v>
      </c>
      <c r="X260" s="272">
        <v>520.78346999999997</v>
      </c>
      <c r="Y260" s="272">
        <v>-21.7834</v>
      </c>
      <c r="Z260" s="272">
        <v>0</v>
      </c>
      <c r="AA260" s="272">
        <v>0</v>
      </c>
      <c r="AB260" s="272">
        <v>542.56686999999999</v>
      </c>
      <c r="AD260" s="272">
        <v>2229.9476500000001</v>
      </c>
      <c r="AE260" s="157">
        <v>2253.1158300000002</v>
      </c>
      <c r="AF260" s="184">
        <v>433.45828</v>
      </c>
      <c r="AG260" s="272">
        <v>-2011.35169</v>
      </c>
      <c r="AH260" s="272">
        <v>418.29440999999997</v>
      </c>
      <c r="AI260" s="184">
        <v>265.67500999999999</v>
      </c>
      <c r="AJ260" s="272">
        <v>123.10339999999999</v>
      </c>
      <c r="AL260" s="272">
        <v>9395.1104300000006</v>
      </c>
      <c r="AM260" s="184">
        <v>-1258.4962700000001</v>
      </c>
      <c r="AN260" s="272">
        <v>896.32839999999999</v>
      </c>
      <c r="AO260" s="343">
        <v>3976</v>
      </c>
      <c r="AP260" s="332">
        <v>9.1</v>
      </c>
      <c r="AQ260" s="448"/>
      <c r="AS260" s="455">
        <v>10634.61247</v>
      </c>
      <c r="AT260" s="272">
        <v>22338.331859999998</v>
      </c>
      <c r="AU260" s="450"/>
      <c r="AV260" s="334">
        <v>6319.5056699999996</v>
      </c>
      <c r="AW260" s="334">
        <v>738.57056999999998</v>
      </c>
      <c r="AX260" s="334">
        <v>1119.66758</v>
      </c>
      <c r="AY260" s="334">
        <v>8177.7438200000006</v>
      </c>
      <c r="AZ260" s="334">
        <v>5179.7359999999999</v>
      </c>
      <c r="BA260" s="272">
        <v>96.026730000000001</v>
      </c>
      <c r="BB260" s="333">
        <v>386.16224999999997</v>
      </c>
      <c r="BC260" s="272">
        <v>132.43986999999998</v>
      </c>
      <c r="BD260" s="272">
        <v>5.7417700000000007</v>
      </c>
      <c r="BE260" s="334">
        <v>1490.3230100000001</v>
      </c>
      <c r="BG260" s="331">
        <v>1325.33827</v>
      </c>
      <c r="BH260" s="331">
        <v>0</v>
      </c>
      <c r="BI260" s="331">
        <v>0</v>
      </c>
      <c r="BJ260" s="334">
        <v>164.98473999999999</v>
      </c>
      <c r="BK260" s="334">
        <v>0</v>
      </c>
      <c r="BL260" s="331">
        <v>0</v>
      </c>
      <c r="BM260" s="331">
        <v>0</v>
      </c>
      <c r="BN260" s="334">
        <v>164.98473999999999</v>
      </c>
      <c r="BP260" s="334">
        <v>2394.9323899999995</v>
      </c>
      <c r="BQ260" s="311">
        <v>1489.6375600000001</v>
      </c>
      <c r="BR260" s="272">
        <v>-0.68545</v>
      </c>
      <c r="BS260" s="461">
        <v>-1052.24919</v>
      </c>
      <c r="BT260" s="272">
        <v>42.98263</v>
      </c>
      <c r="BU260" s="272">
        <v>6.923</v>
      </c>
      <c r="BV260" s="333">
        <v>150.47694000000001</v>
      </c>
      <c r="BX260" s="272">
        <v>9042.4121200000009</v>
      </c>
      <c r="BY260" s="469">
        <v>20.365410000000001</v>
      </c>
      <c r="BZ260" s="469">
        <v>-352.69830999999999</v>
      </c>
      <c r="CA260" s="552"/>
      <c r="CB260" s="335">
        <v>9.1</v>
      </c>
      <c r="CC260" s="471">
        <f t="shared" ref="CC260:CC296" si="4">CB260</f>
        <v>9.1</v>
      </c>
      <c r="CD260" s="558"/>
      <c r="CE260" s="272"/>
      <c r="CF260" s="262"/>
      <c r="CG260" s="260"/>
      <c r="CI260" s="158">
        <v>0</v>
      </c>
      <c r="CJ260" s="331">
        <v>6254.8353747036017</v>
      </c>
      <c r="CK260" s="331">
        <v>5966.2018810041609</v>
      </c>
      <c r="CL260" s="331">
        <v>6084.2733919482271</v>
      </c>
      <c r="CM260" s="472">
        <v>6324.5631430636695</v>
      </c>
      <c r="CN260" s="472">
        <v>6542.4969716222276</v>
      </c>
      <c r="CO260" s="480">
        <v>747.25199999999995</v>
      </c>
      <c r="CP260" s="557"/>
      <c r="CQ260" s="474">
        <v>0</v>
      </c>
      <c r="CR260" s="474">
        <v>0</v>
      </c>
    </row>
    <row r="261" spans="1:96" x14ac:dyDescent="0.2">
      <c r="A261" s="154">
        <v>849</v>
      </c>
      <c r="B261" s="156" t="s">
        <v>284</v>
      </c>
      <c r="C261" s="325">
        <v>2849</v>
      </c>
      <c r="D261" s="270">
        <v>9.11</v>
      </c>
      <c r="E261" s="185"/>
      <c r="G261" s="272">
        <v>24842.48965</v>
      </c>
      <c r="H261" s="272">
        <v>34219.460129999999</v>
      </c>
      <c r="I261" s="272"/>
      <c r="J261" s="272">
        <v>4240.8777099999998</v>
      </c>
      <c r="K261" s="272">
        <v>696.22832999999991</v>
      </c>
      <c r="L261" s="272">
        <v>700.17998</v>
      </c>
      <c r="M261" s="272">
        <v>5637.2860199999996</v>
      </c>
      <c r="N261" s="272">
        <v>5134.259</v>
      </c>
      <c r="O261" s="272">
        <v>104.26633</v>
      </c>
      <c r="P261" s="272">
        <v>445.80106000000001</v>
      </c>
      <c r="Q261" s="272">
        <v>82.556389999999993</v>
      </c>
      <c r="R261" s="272">
        <v>21.214099999999998</v>
      </c>
      <c r="S261" s="272">
        <v>1114.3821</v>
      </c>
      <c r="U261" s="272">
        <v>1270.5417</v>
      </c>
      <c r="V261" s="272">
        <v>1325.3340900000001</v>
      </c>
      <c r="W261" s="272">
        <v>0</v>
      </c>
      <c r="X261" s="272">
        <v>1169.1744899999999</v>
      </c>
      <c r="Y261" s="272">
        <v>0</v>
      </c>
      <c r="Z261" s="272">
        <v>0</v>
      </c>
      <c r="AA261" s="272">
        <v>0</v>
      </c>
      <c r="AB261" s="272">
        <v>1169.1744899999999</v>
      </c>
      <c r="AD261" s="272">
        <v>5335.8915500000003</v>
      </c>
      <c r="AE261" s="157">
        <v>2439.7150000000001</v>
      </c>
      <c r="AF261" s="184">
        <v>0</v>
      </c>
      <c r="AG261" s="272">
        <v>-667.59500000000003</v>
      </c>
      <c r="AH261" s="272">
        <v>0</v>
      </c>
      <c r="AI261" s="184">
        <v>2032.646</v>
      </c>
      <c r="AJ261" s="272">
        <v>401.6</v>
      </c>
      <c r="AL261" s="272">
        <v>10888.023000000001</v>
      </c>
      <c r="AM261" s="184">
        <v>-2545</v>
      </c>
      <c r="AN261" s="272">
        <v>-6448.01</v>
      </c>
      <c r="AO261" s="343">
        <v>2799</v>
      </c>
      <c r="AP261" s="332">
        <v>9.5</v>
      </c>
      <c r="AQ261" s="448"/>
      <c r="AS261" s="455">
        <v>24011.47985</v>
      </c>
      <c r="AT261" s="272">
        <v>33078.550450000002</v>
      </c>
      <c r="AU261" s="450"/>
      <c r="AV261" s="334">
        <v>4529.3081299999994</v>
      </c>
      <c r="AW261" s="334">
        <v>564.34668999999997</v>
      </c>
      <c r="AX261" s="334">
        <v>776.36494999999991</v>
      </c>
      <c r="AY261" s="334">
        <v>5870.0197699999999</v>
      </c>
      <c r="AZ261" s="334">
        <v>5118.9080000000004</v>
      </c>
      <c r="BA261" s="272">
        <v>69.718710000000002</v>
      </c>
      <c r="BB261" s="333">
        <v>342.2226</v>
      </c>
      <c r="BC261" s="272">
        <v>63.445250000000001</v>
      </c>
      <c r="BD261" s="272">
        <v>9.2378300000000007</v>
      </c>
      <c r="BE261" s="334">
        <v>1703.5607</v>
      </c>
      <c r="BG261" s="331">
        <v>1261.42174</v>
      </c>
      <c r="BH261" s="331">
        <v>0</v>
      </c>
      <c r="BI261" s="331">
        <v>0</v>
      </c>
      <c r="BJ261" s="334">
        <v>442.13896</v>
      </c>
      <c r="BK261" s="331">
        <v>0</v>
      </c>
      <c r="BL261" s="331">
        <v>0</v>
      </c>
      <c r="BM261" s="331">
        <v>0</v>
      </c>
      <c r="BN261" s="334">
        <v>442.13896</v>
      </c>
      <c r="BP261" s="334">
        <v>5778.0305099999996</v>
      </c>
      <c r="BQ261" s="311">
        <v>1703.5607</v>
      </c>
      <c r="BR261" s="272">
        <v>0</v>
      </c>
      <c r="BS261" s="461">
        <v>-281.91399000000001</v>
      </c>
      <c r="BT261" s="272">
        <v>0</v>
      </c>
      <c r="BU261" s="272">
        <v>2.016</v>
      </c>
      <c r="BV261" s="333">
        <v>1222.6079</v>
      </c>
      <c r="BX261" s="272">
        <v>9438.9310000000005</v>
      </c>
      <c r="BY261" s="469">
        <v>-30.611000000000001</v>
      </c>
      <c r="BZ261" s="469">
        <v>-1449.0920000000001</v>
      </c>
      <c r="CA261" s="552"/>
      <c r="CB261" s="335">
        <v>9.8999999999999986</v>
      </c>
      <c r="CC261" s="471">
        <f t="shared" si="4"/>
        <v>9.8999999999999986</v>
      </c>
      <c r="CD261" s="558"/>
      <c r="CE261" s="272"/>
      <c r="CF261" s="262"/>
      <c r="CG261" s="260"/>
      <c r="CI261" s="158">
        <v>0</v>
      </c>
      <c r="CJ261" s="331">
        <v>5404.0419374452886</v>
      </c>
      <c r="CK261" s="331">
        <v>5385.5274967127789</v>
      </c>
      <c r="CL261" s="331">
        <v>5011.6919891125435</v>
      </c>
      <c r="CM261" s="472">
        <v>5107.2544226245591</v>
      </c>
      <c r="CN261" s="472">
        <v>5031.9997151653806</v>
      </c>
      <c r="CO261" s="480">
        <v>340.46199999999999</v>
      </c>
      <c r="CP261" s="557"/>
      <c r="CQ261" s="474">
        <v>0</v>
      </c>
      <c r="CR261" s="474">
        <v>0</v>
      </c>
    </row>
    <row r="262" spans="1:96" x14ac:dyDescent="0.2">
      <c r="A262" s="154">
        <v>850</v>
      </c>
      <c r="B262" s="156" t="s">
        <v>285</v>
      </c>
      <c r="C262" s="325">
        <v>2368</v>
      </c>
      <c r="D262" s="270">
        <v>8.36</v>
      </c>
      <c r="E262" s="185"/>
      <c r="G262" s="272">
        <v>2005.96741</v>
      </c>
      <c r="H262" s="272">
        <v>9352.9826400000002</v>
      </c>
      <c r="I262" s="272"/>
      <c r="J262" s="272">
        <v>3903.4018900000001</v>
      </c>
      <c r="K262" s="272">
        <v>622.63162</v>
      </c>
      <c r="L262" s="272">
        <v>798.75492000000008</v>
      </c>
      <c r="M262" s="272">
        <v>5324.7884299999996</v>
      </c>
      <c r="N262" s="272">
        <v>2743.9270000000001</v>
      </c>
      <c r="O262" s="272">
        <v>33.931620000000002</v>
      </c>
      <c r="P262" s="272">
        <v>302.05495000000002</v>
      </c>
      <c r="Q262" s="272">
        <v>3094.3858300000002</v>
      </c>
      <c r="R262" s="272">
        <v>17.378209999999999</v>
      </c>
      <c r="S262" s="272">
        <v>3530.5844900000002</v>
      </c>
      <c r="U262" s="272">
        <v>834.31972999999994</v>
      </c>
      <c r="V262" s="272">
        <v>0</v>
      </c>
      <c r="W262" s="272">
        <v>0</v>
      </c>
      <c r="X262" s="272">
        <v>2696.2647599999996</v>
      </c>
      <c r="Y262" s="272">
        <v>-21.443960000000001</v>
      </c>
      <c r="Z262" s="272">
        <v>0</v>
      </c>
      <c r="AA262" s="272">
        <v>0</v>
      </c>
      <c r="AB262" s="272">
        <v>2717.7087200000001</v>
      </c>
      <c r="AD262" s="272">
        <v>1103.1878899999999</v>
      </c>
      <c r="AE262" s="157">
        <v>4042.2384400000001</v>
      </c>
      <c r="AF262" s="184">
        <v>511.65395000000001</v>
      </c>
      <c r="AG262" s="272">
        <v>-314.08440000000002</v>
      </c>
      <c r="AH262" s="272">
        <v>9</v>
      </c>
      <c r="AI262" s="184">
        <v>127.375</v>
      </c>
      <c r="AJ262" s="272">
        <v>4250.0347300000003</v>
      </c>
      <c r="AL262" s="272">
        <v>8842.7230400000008</v>
      </c>
      <c r="AM262" s="184">
        <v>0</v>
      </c>
      <c r="AN262" s="272">
        <v>-842.11937999999998</v>
      </c>
      <c r="AO262" s="343">
        <v>2349</v>
      </c>
      <c r="AP262" s="332">
        <v>9.4</v>
      </c>
      <c r="AQ262" s="448"/>
      <c r="AS262" s="455">
        <v>1988.1716399999998</v>
      </c>
      <c r="AT262" s="272">
        <v>8326.927169999999</v>
      </c>
      <c r="AU262" s="450"/>
      <c r="AV262" s="334">
        <v>4048.7921200000001</v>
      </c>
      <c r="AW262" s="334">
        <v>553.21190999999999</v>
      </c>
      <c r="AX262" s="334">
        <v>882.77211</v>
      </c>
      <c r="AY262" s="334">
        <v>5484.7761399999999</v>
      </c>
      <c r="AZ262" s="334">
        <v>2361.1759999999999</v>
      </c>
      <c r="BA262" s="272">
        <v>123.09399999999999</v>
      </c>
      <c r="BB262" s="333">
        <v>287.85556000000003</v>
      </c>
      <c r="BC262" s="272">
        <v>80.062919999999991</v>
      </c>
      <c r="BD262" s="272">
        <v>0.87760000000000005</v>
      </c>
      <c r="BE262" s="334">
        <v>1421.6203700000001</v>
      </c>
      <c r="BG262" s="331">
        <v>785.50669999999991</v>
      </c>
      <c r="BH262" s="331">
        <v>0</v>
      </c>
      <c r="BI262" s="331">
        <v>0</v>
      </c>
      <c r="BJ262" s="334">
        <v>636.11367000000007</v>
      </c>
      <c r="BK262" s="334">
        <v>-21.443960000000001</v>
      </c>
      <c r="BL262" s="331">
        <v>0</v>
      </c>
      <c r="BM262" s="331">
        <v>0</v>
      </c>
      <c r="BN262" s="334">
        <v>657.55763000000002</v>
      </c>
      <c r="BP262" s="334">
        <v>1760.7455199999999</v>
      </c>
      <c r="BQ262" s="311">
        <v>787.81853999999998</v>
      </c>
      <c r="BR262" s="272">
        <v>-633.80183</v>
      </c>
      <c r="BS262" s="461">
        <v>-902.99797000000001</v>
      </c>
      <c r="BT262" s="272">
        <v>23</v>
      </c>
      <c r="BU262" s="272">
        <v>35</v>
      </c>
      <c r="BV262" s="333">
        <v>2014.0560399999999</v>
      </c>
      <c r="BX262" s="272">
        <v>6150.6036599999998</v>
      </c>
      <c r="BY262" s="469">
        <v>176.99136999999999</v>
      </c>
      <c r="BZ262" s="469">
        <v>-2692.1193800000001</v>
      </c>
      <c r="CA262" s="552"/>
      <c r="CB262" s="335">
        <v>9.4</v>
      </c>
      <c r="CC262" s="471">
        <f t="shared" si="4"/>
        <v>9.4</v>
      </c>
      <c r="CD262" s="558"/>
      <c r="CE262" s="272"/>
      <c r="CF262" s="262"/>
      <c r="CG262" s="260"/>
      <c r="CI262" s="158">
        <v>470</v>
      </c>
      <c r="CJ262" s="331">
        <v>2714.0370730152404</v>
      </c>
      <c r="CK262" s="331">
        <v>2731.3971370301251</v>
      </c>
      <c r="CL262" s="331">
        <v>2725.2857796018025</v>
      </c>
      <c r="CM262" s="472">
        <v>2833.8208932546754</v>
      </c>
      <c r="CN262" s="472">
        <v>2760.4277769641212</v>
      </c>
      <c r="CO262" s="480">
        <v>-411.33199999999999</v>
      </c>
      <c r="CP262" s="557"/>
      <c r="CQ262" s="474">
        <v>0</v>
      </c>
      <c r="CR262" s="474">
        <v>0</v>
      </c>
    </row>
    <row r="263" spans="1:96" x14ac:dyDescent="0.2">
      <c r="A263" s="154">
        <v>851</v>
      </c>
      <c r="B263" s="156" t="s">
        <v>286</v>
      </c>
      <c r="C263" s="325">
        <v>21018</v>
      </c>
      <c r="D263" s="270">
        <v>8.36</v>
      </c>
      <c r="E263" s="185"/>
      <c r="G263" s="272">
        <v>14521.23544</v>
      </c>
      <c r="H263" s="272">
        <v>66489.636459999994</v>
      </c>
      <c r="I263" s="272"/>
      <c r="J263" s="272">
        <v>41212.146260000001</v>
      </c>
      <c r="K263" s="272">
        <v>3335.0470599999999</v>
      </c>
      <c r="L263" s="272">
        <v>7202.0369299999993</v>
      </c>
      <c r="M263" s="272">
        <v>51749.230250000001</v>
      </c>
      <c r="N263" s="272">
        <v>15222.748</v>
      </c>
      <c r="O263" s="272">
        <v>285.14191999999997</v>
      </c>
      <c r="P263" s="272">
        <v>1094.6971100000001</v>
      </c>
      <c r="Q263" s="272">
        <v>363.80387000000002</v>
      </c>
      <c r="R263" s="272">
        <v>-52.089059999999996</v>
      </c>
      <c r="S263" s="272">
        <v>14609.91497</v>
      </c>
      <c r="U263" s="272">
        <v>6291.0672000000004</v>
      </c>
      <c r="V263" s="272">
        <v>0</v>
      </c>
      <c r="W263" s="272">
        <v>0</v>
      </c>
      <c r="X263" s="272">
        <v>8318.8477700000003</v>
      </c>
      <c r="Y263" s="272">
        <v>0</v>
      </c>
      <c r="Z263" s="272">
        <v>-7.2587700000000002</v>
      </c>
      <c r="AA263" s="272">
        <v>0</v>
      </c>
      <c r="AB263" s="272">
        <v>8326.1065400000007</v>
      </c>
      <c r="AD263" s="272">
        <v>22207.183830000002</v>
      </c>
      <c r="AE263" s="157">
        <v>14247.842789999999</v>
      </c>
      <c r="AF263" s="184">
        <v>-362.07218</v>
      </c>
      <c r="AG263" s="272">
        <v>-8791.70694</v>
      </c>
      <c r="AH263" s="272">
        <v>826.85</v>
      </c>
      <c r="AI263" s="184">
        <v>225.63488000000001</v>
      </c>
      <c r="AJ263" s="272">
        <v>3322.8747000000003</v>
      </c>
      <c r="AL263" s="272">
        <v>56550</v>
      </c>
      <c r="AM263" s="184">
        <v>-6.0359999999999996</v>
      </c>
      <c r="AN263" s="272">
        <v>-5600</v>
      </c>
      <c r="AO263" s="343">
        <v>20959</v>
      </c>
      <c r="AP263" s="332">
        <v>8.4</v>
      </c>
      <c r="AQ263" s="448"/>
      <c r="AS263" s="455">
        <v>13695.766119999998</v>
      </c>
      <c r="AT263" s="272">
        <v>68545.517469999992</v>
      </c>
      <c r="AU263" s="450"/>
      <c r="AV263" s="334">
        <v>38893.838729999996</v>
      </c>
      <c r="AW263" s="334">
        <v>5169.4859299999998</v>
      </c>
      <c r="AX263" s="334">
        <v>6983.8604299999997</v>
      </c>
      <c r="AY263" s="334">
        <v>51047.185090000006</v>
      </c>
      <c r="AZ263" s="334">
        <v>9693.6919999999991</v>
      </c>
      <c r="BA263" s="272">
        <v>312.6567</v>
      </c>
      <c r="BB263" s="333">
        <v>1197.48316</v>
      </c>
      <c r="BC263" s="272">
        <v>320.84116</v>
      </c>
      <c r="BD263" s="272">
        <v>0.4662</v>
      </c>
      <c r="BE263" s="334">
        <v>5326.6742400000003</v>
      </c>
      <c r="BG263" s="331">
        <v>6576.7502100000002</v>
      </c>
      <c r="BH263" s="331">
        <v>0</v>
      </c>
      <c r="BI263" s="331">
        <v>0</v>
      </c>
      <c r="BJ263" s="334">
        <v>-1250.0759699999999</v>
      </c>
      <c r="BK263" s="334">
        <v>0</v>
      </c>
      <c r="BL263" s="331">
        <v>-8.7264699999999991</v>
      </c>
      <c r="BM263" s="331">
        <v>0</v>
      </c>
      <c r="BN263" s="334">
        <v>-1241.3495</v>
      </c>
      <c r="BP263" s="334">
        <v>20965.834329999998</v>
      </c>
      <c r="BQ263" s="311">
        <v>5196.2781399999994</v>
      </c>
      <c r="BR263" s="272">
        <v>-130.39610000000002</v>
      </c>
      <c r="BS263" s="461">
        <v>-7103.0102300000008</v>
      </c>
      <c r="BT263" s="272">
        <v>887.21741000000009</v>
      </c>
      <c r="BU263" s="272">
        <v>123.69613000000001</v>
      </c>
      <c r="BV263" s="333">
        <v>10168.600779999999</v>
      </c>
      <c r="BX263" s="272">
        <v>60750</v>
      </c>
      <c r="BY263" s="469">
        <v>0</v>
      </c>
      <c r="BZ263" s="469">
        <v>4200</v>
      </c>
      <c r="CA263" s="552"/>
      <c r="CB263" s="335">
        <v>8.4</v>
      </c>
      <c r="CC263" s="471">
        <f t="shared" si="4"/>
        <v>8.4</v>
      </c>
      <c r="CD263" s="558"/>
      <c r="CE263" s="272"/>
      <c r="CF263" s="262"/>
      <c r="CI263" s="158">
        <v>0</v>
      </c>
      <c r="CJ263" s="331">
        <v>11594.948193178121</v>
      </c>
      <c r="CK263" s="331">
        <v>9290.1121240411194</v>
      </c>
      <c r="CL263" s="331">
        <v>10517.875865232592</v>
      </c>
      <c r="CM263" s="472">
        <v>11221.208801923736</v>
      </c>
      <c r="CN263" s="472">
        <v>10819.727051412545</v>
      </c>
      <c r="CO263" s="480">
        <v>-159.55099999999999</v>
      </c>
      <c r="CP263" s="557"/>
      <c r="CQ263" s="474">
        <v>0</v>
      </c>
      <c r="CR263" s="474">
        <v>0</v>
      </c>
    </row>
    <row r="264" spans="1:96" x14ac:dyDescent="0.2">
      <c r="A264" s="154">
        <v>853</v>
      </c>
      <c r="B264" s="156" t="s">
        <v>287</v>
      </c>
      <c r="C264" s="325">
        <v>201863</v>
      </c>
      <c r="D264" s="270">
        <v>6.8600000000000012</v>
      </c>
      <c r="E264" s="185"/>
      <c r="G264" s="272">
        <v>205946.59715000002</v>
      </c>
      <c r="H264" s="272">
        <v>748140.54203000001</v>
      </c>
      <c r="I264" s="272"/>
      <c r="J264" s="272">
        <v>325658.63152999996</v>
      </c>
      <c r="K264" s="272">
        <v>120298.30867</v>
      </c>
      <c r="L264" s="272">
        <v>73263.431840000005</v>
      </c>
      <c r="M264" s="272">
        <v>519220.37204000005</v>
      </c>
      <c r="N264" s="272">
        <v>80773.646999999997</v>
      </c>
      <c r="O264" s="272">
        <v>22026.637910000001</v>
      </c>
      <c r="P264" s="272">
        <v>11500.816490000001</v>
      </c>
      <c r="Q264" s="272">
        <v>27078.197829999997</v>
      </c>
      <c r="R264" s="272">
        <v>573.98230000000001</v>
      </c>
      <c r="S264" s="272">
        <v>96601.076610000004</v>
      </c>
      <c r="U264" s="272">
        <v>66127.413369999995</v>
      </c>
      <c r="V264" s="272">
        <v>0</v>
      </c>
      <c r="W264" s="272">
        <v>0</v>
      </c>
      <c r="X264" s="272">
        <v>30473.663239999998</v>
      </c>
      <c r="Y264" s="272">
        <v>-2034.42527</v>
      </c>
      <c r="Z264" s="272">
        <v>0</v>
      </c>
      <c r="AA264" s="272">
        <v>0</v>
      </c>
      <c r="AB264" s="272">
        <v>32508.088510000001</v>
      </c>
      <c r="AD264" s="272">
        <v>269295.63823000004</v>
      </c>
      <c r="AE264" s="157">
        <v>78970.623879999999</v>
      </c>
      <c r="AF264" s="184">
        <v>-17630.452730000001</v>
      </c>
      <c r="AG264" s="272">
        <v>-182341.68088999999</v>
      </c>
      <c r="AH264" s="272">
        <v>10086.64458</v>
      </c>
      <c r="AI264" s="184">
        <v>22172.312300000001</v>
      </c>
      <c r="AJ264" s="272">
        <v>85891.290389999995</v>
      </c>
      <c r="AL264" s="272">
        <v>863229.62971999997</v>
      </c>
      <c r="AM264" s="184">
        <v>10778.695730000001</v>
      </c>
      <c r="AN264" s="272">
        <v>146804.80695</v>
      </c>
      <c r="AO264" s="343">
        <v>206073</v>
      </c>
      <c r="AP264" s="332">
        <v>6.9</v>
      </c>
      <c r="AQ264" s="448"/>
      <c r="AS264" s="455">
        <v>226054.13683999999</v>
      </c>
      <c r="AT264" s="272">
        <v>760647.54314999992</v>
      </c>
      <c r="AU264" s="450"/>
      <c r="AV264" s="334">
        <v>317376.22120999999</v>
      </c>
      <c r="AW264" s="334">
        <v>93223.508719999998</v>
      </c>
      <c r="AX264" s="334">
        <v>79003.150849999991</v>
      </c>
      <c r="AY264" s="334">
        <v>489602.88077999995</v>
      </c>
      <c r="AZ264" s="334">
        <v>73705.941000000006</v>
      </c>
      <c r="BA264" s="272">
        <v>23339.637710000003</v>
      </c>
      <c r="BB264" s="333">
        <v>16632.75159</v>
      </c>
      <c r="BC264" s="272">
        <v>29732.027570000002</v>
      </c>
      <c r="BD264" s="272">
        <v>307.22725000000003</v>
      </c>
      <c r="BE264" s="334">
        <v>66769.884420000002</v>
      </c>
      <c r="BG264" s="331">
        <v>60376.120999999999</v>
      </c>
      <c r="BH264" s="334">
        <v>0</v>
      </c>
      <c r="BI264" s="334">
        <v>0</v>
      </c>
      <c r="BJ264" s="334">
        <v>6393.7634200000002</v>
      </c>
      <c r="BK264" s="334">
        <v>-1702.9269299999999</v>
      </c>
      <c r="BL264" s="331">
        <v>2800</v>
      </c>
      <c r="BM264" s="331">
        <v>5212.0496800000001</v>
      </c>
      <c r="BN264" s="334">
        <v>84.64067</v>
      </c>
      <c r="BP264" s="334">
        <v>276649.81229999999</v>
      </c>
      <c r="BQ264" s="311">
        <v>44265.109560000004</v>
      </c>
      <c r="BR264" s="272">
        <v>-22504.774859999998</v>
      </c>
      <c r="BS264" s="461">
        <v>-182298.71794</v>
      </c>
      <c r="BT264" s="272">
        <v>7898.0359900000003</v>
      </c>
      <c r="BU264" s="272">
        <v>28676.74613</v>
      </c>
      <c r="BV264" s="333">
        <v>76265.897639999996</v>
      </c>
      <c r="BX264" s="272">
        <v>925866.17287000013</v>
      </c>
      <c r="BY264" s="469">
        <v>1274.4096399999999</v>
      </c>
      <c r="BZ264" s="469">
        <v>62636.543149999998</v>
      </c>
      <c r="CA264" s="552"/>
      <c r="CB264" s="335">
        <v>7.1</v>
      </c>
      <c r="CC264" s="471">
        <f t="shared" si="4"/>
        <v>7.1</v>
      </c>
      <c r="CD264" s="558"/>
      <c r="CE264" s="272"/>
      <c r="CF264" s="262"/>
      <c r="CI264" s="158">
        <v>0</v>
      </c>
      <c r="CJ264" s="331">
        <v>102845.29098246315</v>
      </c>
      <c r="CK264" s="331">
        <v>118856.64648956207</v>
      </c>
      <c r="CL264" s="331">
        <v>117526.3111008374</v>
      </c>
      <c r="CM264" s="472">
        <v>130561.48046789897</v>
      </c>
      <c r="CN264" s="472">
        <v>135477.17893665942</v>
      </c>
      <c r="CO264" s="480">
        <v>48831.67</v>
      </c>
      <c r="CP264" s="557"/>
      <c r="CQ264" s="474">
        <v>1770.9655</v>
      </c>
      <c r="CR264" s="474">
        <v>1922.78251</v>
      </c>
    </row>
    <row r="265" spans="1:96" x14ac:dyDescent="0.2">
      <c r="A265" s="154">
        <v>857</v>
      </c>
      <c r="B265" s="156" t="s">
        <v>288</v>
      </c>
      <c r="C265" s="325">
        <v>2313</v>
      </c>
      <c r="D265" s="270">
        <v>9.36</v>
      </c>
      <c r="E265" s="185"/>
      <c r="G265" s="272">
        <v>3185.9301700000001</v>
      </c>
      <c r="H265" s="272">
        <v>8877.5062899999994</v>
      </c>
      <c r="I265" s="272"/>
      <c r="J265" s="272">
        <v>3573.3442099999997</v>
      </c>
      <c r="K265" s="272">
        <v>753.40494999999999</v>
      </c>
      <c r="L265" s="272">
        <v>1022.48341</v>
      </c>
      <c r="M265" s="272">
        <v>5349.2325700000001</v>
      </c>
      <c r="N265" s="272">
        <v>-83.040999999999997</v>
      </c>
      <c r="O265" s="272">
        <v>5.9249999999999997E-2</v>
      </c>
      <c r="P265" s="272">
        <v>64.087389999999999</v>
      </c>
      <c r="Q265" s="272">
        <v>198.28331</v>
      </c>
      <c r="R265" s="272">
        <v>2.1095300000000003</v>
      </c>
      <c r="S265" s="272">
        <v>-274.28853999999995</v>
      </c>
      <c r="U265" s="272">
        <v>928.72293000000002</v>
      </c>
      <c r="V265" s="272">
        <v>0</v>
      </c>
      <c r="W265" s="272">
        <v>0</v>
      </c>
      <c r="X265" s="272">
        <v>-1203.0114699999999</v>
      </c>
      <c r="Y265" s="272">
        <v>-111.1159</v>
      </c>
      <c r="Z265" s="272">
        <v>0</v>
      </c>
      <c r="AA265" s="272">
        <v>0</v>
      </c>
      <c r="AB265" s="272">
        <v>-1091.8955700000001</v>
      </c>
      <c r="AD265" s="272">
        <v>1943.5091399999997</v>
      </c>
      <c r="AE265" s="157">
        <v>40.401760000000003</v>
      </c>
      <c r="AF265" s="184">
        <v>314.69029999999998</v>
      </c>
      <c r="AG265" s="272">
        <v>-648.05505000000005</v>
      </c>
      <c r="AH265" s="272">
        <v>92.524500000000003</v>
      </c>
      <c r="AI265" s="184">
        <v>38.299999999999997</v>
      </c>
      <c r="AJ265" s="272">
        <v>1216.7391200000002</v>
      </c>
      <c r="AL265" s="272">
        <v>3725</v>
      </c>
      <c r="AM265" s="184">
        <v>0</v>
      </c>
      <c r="AN265" s="272">
        <v>550</v>
      </c>
      <c r="AO265" s="343">
        <v>2311</v>
      </c>
      <c r="AP265" s="332">
        <v>9.4</v>
      </c>
      <c r="AQ265" s="448"/>
      <c r="AS265" s="455">
        <v>3468.3927899999999</v>
      </c>
      <c r="AT265" s="272">
        <v>8730.3028300000005</v>
      </c>
      <c r="AU265" s="450"/>
      <c r="AV265" s="334">
        <v>3548.9427500000002</v>
      </c>
      <c r="AW265" s="334">
        <v>663.38234999999997</v>
      </c>
      <c r="AX265" s="334">
        <v>1084.49784</v>
      </c>
      <c r="AY265" s="334">
        <v>5296.82294</v>
      </c>
      <c r="AZ265" s="334">
        <v>53.093000000000004</v>
      </c>
      <c r="BA265" s="272">
        <v>8.7215699999999998</v>
      </c>
      <c r="BB265" s="333">
        <v>118.04894</v>
      </c>
      <c r="BC265" s="272">
        <v>288.02440999999999</v>
      </c>
      <c r="BD265" s="272">
        <v>1.1965899999999998</v>
      </c>
      <c r="BE265" s="334">
        <v>276.94790999999998</v>
      </c>
      <c r="BG265" s="331">
        <v>898.72314000000006</v>
      </c>
      <c r="BH265" s="331">
        <v>0</v>
      </c>
      <c r="BI265" s="331">
        <v>0</v>
      </c>
      <c r="BJ265" s="334">
        <v>-621.77522999999997</v>
      </c>
      <c r="BK265" s="334">
        <v>-111.11592</v>
      </c>
      <c r="BL265" s="334">
        <v>0</v>
      </c>
      <c r="BM265" s="334">
        <v>0</v>
      </c>
      <c r="BN265" s="334">
        <v>-510.65931</v>
      </c>
      <c r="BP265" s="334">
        <v>1432.8498299999999</v>
      </c>
      <c r="BQ265" s="311">
        <v>375.98856000000001</v>
      </c>
      <c r="BR265" s="272">
        <v>99.040649999999999</v>
      </c>
      <c r="BS265" s="461">
        <v>-783.48430000000008</v>
      </c>
      <c r="BT265" s="272">
        <v>0</v>
      </c>
      <c r="BU265" s="272">
        <v>134</v>
      </c>
      <c r="BV265" s="333">
        <v>1967.54666</v>
      </c>
      <c r="BX265" s="272">
        <v>4750</v>
      </c>
      <c r="BY265" s="469">
        <v>0</v>
      </c>
      <c r="BZ265" s="469">
        <v>1025</v>
      </c>
      <c r="CA265" s="552"/>
      <c r="CB265" s="335">
        <v>9.4</v>
      </c>
      <c r="CC265" s="471">
        <f t="shared" si="4"/>
        <v>9.4</v>
      </c>
      <c r="CD265" s="558"/>
      <c r="CE265" s="272"/>
      <c r="CF265" s="262"/>
      <c r="CI265" s="158">
        <v>0</v>
      </c>
      <c r="CJ265" s="331">
        <v>206.61183112583078</v>
      </c>
      <c r="CK265" s="331">
        <v>-14.223106745442152</v>
      </c>
      <c r="CL265" s="331">
        <v>107.45111357061145</v>
      </c>
      <c r="CM265" s="472">
        <v>129.32873568692551</v>
      </c>
      <c r="CN265" s="472">
        <v>185.71468624597517</v>
      </c>
      <c r="CO265" s="480">
        <v>138.965</v>
      </c>
      <c r="CP265" s="557"/>
      <c r="CQ265" s="474">
        <v>18.950369999999999</v>
      </c>
      <c r="CR265" s="474">
        <v>11.441559999999999</v>
      </c>
    </row>
    <row r="266" spans="1:96" x14ac:dyDescent="0.2">
      <c r="A266" s="154">
        <v>858</v>
      </c>
      <c r="B266" s="156" t="s">
        <v>289</v>
      </c>
      <c r="C266" s="325">
        <v>41338</v>
      </c>
      <c r="D266" s="270">
        <v>7.1099999999999994</v>
      </c>
      <c r="E266" s="185"/>
      <c r="G266" s="272">
        <v>47791.854039999998</v>
      </c>
      <c r="H266" s="272">
        <v>151743.06491999998</v>
      </c>
      <c r="I266" s="272"/>
      <c r="J266" s="272">
        <v>90985.070939999991</v>
      </c>
      <c r="K266" s="272">
        <v>9266.8024399999995</v>
      </c>
      <c r="L266" s="272">
        <v>15378.372789999999</v>
      </c>
      <c r="M266" s="272">
        <v>115630.24617</v>
      </c>
      <c r="N266" s="272">
        <v>27594.530699999999</v>
      </c>
      <c r="O266" s="272">
        <v>201.80389000000002</v>
      </c>
      <c r="P266" s="272">
        <v>1863.61618</v>
      </c>
      <c r="Q266" s="272">
        <v>369.66790999999995</v>
      </c>
      <c r="R266" s="272">
        <v>11.37518</v>
      </c>
      <c r="S266" s="272">
        <v>38228.720590000004</v>
      </c>
      <c r="U266" s="272">
        <v>24165.72048</v>
      </c>
      <c r="V266" s="272">
        <v>0</v>
      </c>
      <c r="W266" s="272">
        <v>221.98964999999998</v>
      </c>
      <c r="X266" s="272">
        <v>13841.010460000001</v>
      </c>
      <c r="Y266" s="272">
        <v>-66.945239999999998</v>
      </c>
      <c r="Z266" s="272">
        <v>8200</v>
      </c>
      <c r="AA266" s="272">
        <v>0</v>
      </c>
      <c r="AB266" s="272">
        <v>5707.9557000000004</v>
      </c>
      <c r="AD266" s="272">
        <v>64333.372100000001</v>
      </c>
      <c r="AE266" s="157">
        <v>29804.105359999998</v>
      </c>
      <c r="AF266" s="184">
        <v>-8202.6255799999999</v>
      </c>
      <c r="AG266" s="272">
        <v>-82562.487549999991</v>
      </c>
      <c r="AH266" s="272">
        <v>0</v>
      </c>
      <c r="AI266" s="184">
        <v>12772.512140000001</v>
      </c>
      <c r="AJ266" s="272">
        <v>4193.9272799999999</v>
      </c>
      <c r="AL266" s="272">
        <v>199818.32037999999</v>
      </c>
      <c r="AM266" s="184">
        <v>-410.29333000000003</v>
      </c>
      <c r="AN266" s="272">
        <v>36729.938700000006</v>
      </c>
      <c r="AO266" s="343">
        <v>42225</v>
      </c>
      <c r="AP266" s="332">
        <v>7.1</v>
      </c>
      <c r="AQ266" s="448"/>
      <c r="AS266" s="455">
        <v>44427.375070000002</v>
      </c>
      <c r="AT266" s="272">
        <v>155336.62390999999</v>
      </c>
      <c r="AU266" s="450"/>
      <c r="AV266" s="334">
        <v>83357.342099999994</v>
      </c>
      <c r="AW266" s="334">
        <v>7686.3873899999999</v>
      </c>
      <c r="AX266" s="334">
        <v>16376.68224</v>
      </c>
      <c r="AY266" s="334">
        <v>107420.41173000001</v>
      </c>
      <c r="AZ266" s="334">
        <v>28688.753000000001</v>
      </c>
      <c r="BA266" s="272">
        <v>200.55440999999999</v>
      </c>
      <c r="BB266" s="333">
        <v>3783.1014300000002</v>
      </c>
      <c r="BC266" s="272">
        <v>398.97785999999996</v>
      </c>
      <c r="BD266" s="272">
        <v>1238.90969</v>
      </c>
      <c r="BE266" s="334">
        <v>20901.952570000001</v>
      </c>
      <c r="BG266" s="331">
        <v>21468.277449999998</v>
      </c>
      <c r="BH266" s="334">
        <v>0</v>
      </c>
      <c r="BI266" s="331">
        <v>0</v>
      </c>
      <c r="BJ266" s="334">
        <v>-566.32488000000001</v>
      </c>
      <c r="BK266" s="331">
        <v>964.46752000000004</v>
      </c>
      <c r="BL266" s="331">
        <v>-1000</v>
      </c>
      <c r="BM266" s="331">
        <v>0</v>
      </c>
      <c r="BN266" s="334">
        <v>-530.79240000000004</v>
      </c>
      <c r="BP266" s="334">
        <v>63788.963490000002</v>
      </c>
      <c r="BQ266" s="311">
        <v>12779.114750000001</v>
      </c>
      <c r="BR266" s="272">
        <v>-8122.8378200000006</v>
      </c>
      <c r="BS266" s="461">
        <v>-72958.825079999995</v>
      </c>
      <c r="BT266" s="272">
        <v>747.79277999999999</v>
      </c>
      <c r="BU266" s="272">
        <v>9650.4059799999995</v>
      </c>
      <c r="BV266" s="333">
        <v>4955.9650200000005</v>
      </c>
      <c r="BX266" s="272">
        <v>248700</v>
      </c>
      <c r="BY266" s="469">
        <v>29.306669999999997</v>
      </c>
      <c r="BZ266" s="469">
        <v>48881.679619999995</v>
      </c>
      <c r="CA266" s="552"/>
      <c r="CB266" s="335">
        <v>7.1</v>
      </c>
      <c r="CC266" s="471">
        <f t="shared" si="4"/>
        <v>7.1</v>
      </c>
      <c r="CD266" s="558"/>
      <c r="CE266" s="272"/>
      <c r="CF266" s="262"/>
      <c r="CI266" s="158">
        <v>0</v>
      </c>
      <c r="CJ266" s="331">
        <v>31850.096847053221</v>
      </c>
      <c r="CK266" s="331">
        <v>31604.479960301771</v>
      </c>
      <c r="CL266" s="331">
        <v>31342.478801432324</v>
      </c>
      <c r="CM266" s="472">
        <v>33175.46710615234</v>
      </c>
      <c r="CN266" s="472">
        <v>34123.591636338373</v>
      </c>
      <c r="CO266" s="480">
        <v>-2704.9690000000001</v>
      </c>
      <c r="CP266" s="557"/>
      <c r="CQ266" s="474">
        <v>258.67416000000003</v>
      </c>
      <c r="CR266" s="474">
        <v>124.51553</v>
      </c>
    </row>
    <row r="267" spans="1:96" x14ac:dyDescent="0.2">
      <c r="A267" s="154">
        <v>859</v>
      </c>
      <c r="B267" s="156" t="s">
        <v>290</v>
      </c>
      <c r="C267" s="325">
        <v>6525</v>
      </c>
      <c r="D267" s="270">
        <v>9.36</v>
      </c>
      <c r="E267" s="185"/>
      <c r="G267" s="272">
        <v>3457.7127799999998</v>
      </c>
      <c r="H267" s="272">
        <v>24524.864109999999</v>
      </c>
      <c r="I267" s="272"/>
      <c r="J267" s="272">
        <v>10497.93</v>
      </c>
      <c r="K267" s="272">
        <v>552.93540000000007</v>
      </c>
      <c r="L267" s="272">
        <v>1013.79542</v>
      </c>
      <c r="M267" s="272">
        <v>12064.660820000001</v>
      </c>
      <c r="N267" s="272">
        <v>12189.387000000001</v>
      </c>
      <c r="O267" s="272">
        <v>39.607099999999996</v>
      </c>
      <c r="P267" s="272">
        <v>439.73784000000001</v>
      </c>
      <c r="Q267" s="272">
        <v>36.944410000000005</v>
      </c>
      <c r="R267" s="272">
        <v>70.199590000000001</v>
      </c>
      <c r="S267" s="272">
        <v>2753.5105699999999</v>
      </c>
      <c r="U267" s="272">
        <v>2113.14183</v>
      </c>
      <c r="V267" s="272">
        <v>0</v>
      </c>
      <c r="W267" s="272">
        <v>0</v>
      </c>
      <c r="X267" s="272">
        <v>640.36874</v>
      </c>
      <c r="Y267" s="272">
        <v>0</v>
      </c>
      <c r="Z267" s="272">
        <v>400</v>
      </c>
      <c r="AA267" s="272">
        <v>0</v>
      </c>
      <c r="AB267" s="272">
        <v>240.36874</v>
      </c>
      <c r="AD267" s="272">
        <v>3567.6979999999999</v>
      </c>
      <c r="AE267" s="157">
        <v>2662.7300399999999</v>
      </c>
      <c r="AF267" s="184">
        <v>-90.780529999999999</v>
      </c>
      <c r="AG267" s="272">
        <v>-4326.5669699999999</v>
      </c>
      <c r="AH267" s="272">
        <v>0</v>
      </c>
      <c r="AI267" s="184">
        <v>280.45539000000002</v>
      </c>
      <c r="AJ267" s="272">
        <v>710.16025999999999</v>
      </c>
      <c r="AL267" s="272">
        <v>30365.451940000003</v>
      </c>
      <c r="AM267" s="184">
        <v>-178</v>
      </c>
      <c r="AN267" s="272">
        <v>1225.81666</v>
      </c>
      <c r="AO267" s="343">
        <v>6501</v>
      </c>
      <c r="AP267" s="332">
        <v>9.9</v>
      </c>
      <c r="AQ267" s="448"/>
      <c r="AS267" s="455">
        <v>3605.5801900000001</v>
      </c>
      <c r="AT267" s="272">
        <v>24292.66201</v>
      </c>
      <c r="AU267" s="450"/>
      <c r="AV267" s="334">
        <v>11148.806480000001</v>
      </c>
      <c r="AW267" s="334">
        <v>446.60546999999997</v>
      </c>
      <c r="AX267" s="334">
        <v>1038.4084399999999</v>
      </c>
      <c r="AY267" s="334">
        <v>12633.820390000001</v>
      </c>
      <c r="AZ267" s="334">
        <v>11047.665999999999</v>
      </c>
      <c r="BA267" s="272">
        <v>28.453830000000004</v>
      </c>
      <c r="BB267" s="333">
        <v>797.97339999999997</v>
      </c>
      <c r="BC267" s="272">
        <v>26.03528</v>
      </c>
      <c r="BD267" s="272">
        <v>16.75019</v>
      </c>
      <c r="BE267" s="334">
        <v>2234.1700900000001</v>
      </c>
      <c r="BG267" s="331">
        <v>2231.2125499999997</v>
      </c>
      <c r="BH267" s="331">
        <v>0</v>
      </c>
      <c r="BI267" s="331">
        <v>0</v>
      </c>
      <c r="BJ267" s="334">
        <v>2.9575399999999998</v>
      </c>
      <c r="BK267" s="334">
        <v>383.01809000000003</v>
      </c>
      <c r="BL267" s="334">
        <v>-400</v>
      </c>
      <c r="BM267" s="331">
        <v>0</v>
      </c>
      <c r="BN267" s="334">
        <v>19.939450000000001</v>
      </c>
      <c r="BP267" s="334">
        <v>3587.6374500000002</v>
      </c>
      <c r="BQ267" s="311">
        <v>2121.57123</v>
      </c>
      <c r="BR267" s="272">
        <v>-112.60422</v>
      </c>
      <c r="BS267" s="461">
        <v>-7409.9424800000006</v>
      </c>
      <c r="BT267" s="272">
        <v>0</v>
      </c>
      <c r="BU267" s="272">
        <v>125.22263000000001</v>
      </c>
      <c r="BV267" s="333">
        <v>1173.9068200000002</v>
      </c>
      <c r="BX267" s="272">
        <v>35941.268600000003</v>
      </c>
      <c r="BY267" s="469">
        <v>-22.474880000000002</v>
      </c>
      <c r="BZ267" s="469">
        <v>5575.817</v>
      </c>
      <c r="CA267" s="552"/>
      <c r="CB267" s="335">
        <v>9.9</v>
      </c>
      <c r="CC267" s="471">
        <f t="shared" si="4"/>
        <v>9.9</v>
      </c>
      <c r="CD267" s="558"/>
      <c r="CE267" s="272"/>
      <c r="CF267" s="262"/>
      <c r="CI267" s="158">
        <v>0</v>
      </c>
      <c r="CJ267" s="331">
        <v>11629.236698435334</v>
      </c>
      <c r="CK267" s="331">
        <v>11429.552511186814</v>
      </c>
      <c r="CL267" s="331">
        <v>12146.643272825262</v>
      </c>
      <c r="CM267" s="472">
        <v>12360.419791442448</v>
      </c>
      <c r="CN267" s="472">
        <v>12835.821477698573</v>
      </c>
      <c r="CO267" s="480">
        <v>-926.10799999999995</v>
      </c>
      <c r="CP267" s="557"/>
      <c r="CQ267" s="474">
        <v>0</v>
      </c>
      <c r="CR267" s="474">
        <v>0</v>
      </c>
    </row>
    <row r="268" spans="1:96" x14ac:dyDescent="0.2">
      <c r="A268" s="154">
        <v>886</v>
      </c>
      <c r="B268" s="156" t="s">
        <v>291</v>
      </c>
      <c r="C268" s="325">
        <v>12533</v>
      </c>
      <c r="D268" s="270">
        <v>8.8600000000000012</v>
      </c>
      <c r="E268" s="185"/>
      <c r="G268" s="272">
        <v>8449.5408200000002</v>
      </c>
      <c r="H268" s="272">
        <v>40164.187149999998</v>
      </c>
      <c r="I268" s="272"/>
      <c r="J268" s="272">
        <v>25801.10195</v>
      </c>
      <c r="K268" s="272">
        <v>2557.5847000000003</v>
      </c>
      <c r="L268" s="272">
        <v>2895.8184500000002</v>
      </c>
      <c r="M268" s="272">
        <v>31254.505100000002</v>
      </c>
      <c r="N268" s="272">
        <v>8948.9699999999993</v>
      </c>
      <c r="O268" s="272">
        <v>66.260179999999991</v>
      </c>
      <c r="P268" s="272">
        <v>362.16043999999999</v>
      </c>
      <c r="Q268" s="272">
        <v>109.07785000000001</v>
      </c>
      <c r="R268" s="272">
        <v>4.2318800000000003</v>
      </c>
      <c r="S268" s="272">
        <v>8297.77448</v>
      </c>
      <c r="U268" s="272">
        <v>3372.3887799999998</v>
      </c>
      <c r="V268" s="272">
        <v>0</v>
      </c>
      <c r="W268" s="272">
        <v>0</v>
      </c>
      <c r="X268" s="272">
        <v>4925.3856999999998</v>
      </c>
      <c r="Y268" s="272">
        <v>0</v>
      </c>
      <c r="Z268" s="272">
        <v>0</v>
      </c>
      <c r="AA268" s="272">
        <v>0</v>
      </c>
      <c r="AB268" s="272">
        <v>4925.3856999999998</v>
      </c>
      <c r="AD268" s="272">
        <v>12031.826880000001</v>
      </c>
      <c r="AE268" s="157">
        <v>8281.0956600000009</v>
      </c>
      <c r="AF268" s="184">
        <v>-16.678819999999998</v>
      </c>
      <c r="AG268" s="272">
        <v>-4751.3598200000006</v>
      </c>
      <c r="AH268" s="272">
        <v>90</v>
      </c>
      <c r="AI268" s="184">
        <v>20.132999999999999</v>
      </c>
      <c r="AJ268" s="272">
        <v>5025.6378800000002</v>
      </c>
      <c r="AL268" s="272">
        <v>16025.836949999999</v>
      </c>
      <c r="AM268" s="184">
        <v>9.5968999999999998</v>
      </c>
      <c r="AN268" s="272">
        <v>-1550.86996</v>
      </c>
      <c r="AO268" s="343">
        <v>12382</v>
      </c>
      <c r="AP268" s="332">
        <v>8.9</v>
      </c>
      <c r="AQ268" s="448"/>
      <c r="AS268" s="455">
        <v>8890.2129399999994</v>
      </c>
      <c r="AT268" s="272">
        <v>42929.377939999998</v>
      </c>
      <c r="AU268" s="450"/>
      <c r="AV268" s="334">
        <v>24507.229589999999</v>
      </c>
      <c r="AW268" s="334">
        <v>1822.2285900000002</v>
      </c>
      <c r="AX268" s="334">
        <v>3031.5712000000003</v>
      </c>
      <c r="AY268" s="334">
        <v>29361.02938</v>
      </c>
      <c r="AZ268" s="334">
        <v>7119.5540000000001</v>
      </c>
      <c r="BA268" s="272">
        <v>73.646410000000003</v>
      </c>
      <c r="BB268" s="333">
        <v>425.12496999999996</v>
      </c>
      <c r="BC268" s="272">
        <v>82.722669999999994</v>
      </c>
      <c r="BD268" s="272">
        <v>1.69553</v>
      </c>
      <c r="BE268" s="334">
        <v>2170.9669599999997</v>
      </c>
      <c r="BG268" s="331">
        <v>3181.1480299999998</v>
      </c>
      <c r="BH268" s="334">
        <v>0</v>
      </c>
      <c r="BI268" s="331">
        <v>0</v>
      </c>
      <c r="BJ268" s="334">
        <v>-1010.18107</v>
      </c>
      <c r="BK268" s="331">
        <v>0</v>
      </c>
      <c r="BL268" s="331">
        <v>0</v>
      </c>
      <c r="BM268" s="331">
        <v>0</v>
      </c>
      <c r="BN268" s="334">
        <v>-1010.18107</v>
      </c>
      <c r="BP268" s="334">
        <v>11021.64581</v>
      </c>
      <c r="BQ268" s="311">
        <v>2177.1714200000001</v>
      </c>
      <c r="BR268" s="272">
        <v>6.2044600000000001</v>
      </c>
      <c r="BS268" s="461">
        <v>-5155.3371900000002</v>
      </c>
      <c r="BT268" s="272">
        <v>0</v>
      </c>
      <c r="BU268" s="272">
        <v>14.476000000000001</v>
      </c>
      <c r="BV268" s="333">
        <v>3377.6602499999999</v>
      </c>
      <c r="BX268" s="272">
        <v>16631.755000000001</v>
      </c>
      <c r="BY268" s="469">
        <v>1792.71127</v>
      </c>
      <c r="BZ268" s="469">
        <v>605.91804999999999</v>
      </c>
      <c r="CA268" s="552"/>
      <c r="CB268" s="335">
        <v>9.4</v>
      </c>
      <c r="CC268" s="471">
        <f t="shared" si="4"/>
        <v>9.4</v>
      </c>
      <c r="CD268" s="558"/>
      <c r="CE268" s="272"/>
      <c r="CF268" s="262"/>
      <c r="CI268" s="158">
        <v>0</v>
      </c>
      <c r="CJ268" s="331">
        <v>8794.1612000329242</v>
      </c>
      <c r="CK268" s="331">
        <v>9083.6950061756652</v>
      </c>
      <c r="CL268" s="331">
        <v>8527.3217893537912</v>
      </c>
      <c r="CM268" s="472">
        <v>9369.7980576950304</v>
      </c>
      <c r="CN268" s="472">
        <v>9751.9252969047793</v>
      </c>
      <c r="CO268" s="480">
        <v>269.18900000000002</v>
      </c>
      <c r="CP268" s="557"/>
      <c r="CQ268" s="474">
        <v>0</v>
      </c>
      <c r="CR268" s="474">
        <v>0</v>
      </c>
    </row>
    <row r="269" spans="1:96" x14ac:dyDescent="0.2">
      <c r="A269" s="154">
        <v>887</v>
      </c>
      <c r="B269" s="156" t="s">
        <v>292</v>
      </c>
      <c r="C269" s="325">
        <v>4568</v>
      </c>
      <c r="D269" s="270">
        <v>9.36</v>
      </c>
      <c r="E269" s="185"/>
      <c r="G269" s="272">
        <v>3099.9298900000003</v>
      </c>
      <c r="H269" s="272">
        <v>14665.063980000001</v>
      </c>
      <c r="I269" s="272"/>
      <c r="J269" s="272">
        <v>6971.0689199999997</v>
      </c>
      <c r="K269" s="272">
        <v>840.54543999999999</v>
      </c>
      <c r="L269" s="272">
        <v>1773.8061399999999</v>
      </c>
      <c r="M269" s="272">
        <v>9585.4205000000002</v>
      </c>
      <c r="N269" s="272">
        <v>3076.5529999999999</v>
      </c>
      <c r="O269" s="272">
        <v>313.56157000000002</v>
      </c>
      <c r="P269" s="272">
        <v>487.89607000000001</v>
      </c>
      <c r="Q269" s="272">
        <v>196.63240999999999</v>
      </c>
      <c r="R269" s="272">
        <v>174.12734</v>
      </c>
      <c r="S269" s="272">
        <v>945.00997999999993</v>
      </c>
      <c r="U269" s="272">
        <v>1287.8723400000001</v>
      </c>
      <c r="V269" s="272">
        <v>0</v>
      </c>
      <c r="W269" s="272">
        <v>0</v>
      </c>
      <c r="X269" s="272">
        <v>-342.86235999999997</v>
      </c>
      <c r="Y269" s="272">
        <v>0</v>
      </c>
      <c r="Z269" s="272">
        <v>0</v>
      </c>
      <c r="AA269" s="272">
        <v>0</v>
      </c>
      <c r="AB269" s="272">
        <v>-342.86235999999997</v>
      </c>
      <c r="AD269" s="272">
        <v>-410.08932999999996</v>
      </c>
      <c r="AE269" s="157">
        <v>1000.5052800000001</v>
      </c>
      <c r="AF269" s="184">
        <v>55.4953</v>
      </c>
      <c r="AG269" s="272">
        <v>-692.63918999999999</v>
      </c>
      <c r="AH269" s="272">
        <v>35.805999999999997</v>
      </c>
      <c r="AI269" s="184">
        <v>33.6</v>
      </c>
      <c r="AJ269" s="272">
        <v>1525.59339</v>
      </c>
      <c r="AL269" s="272">
        <v>10982.448</v>
      </c>
      <c r="AM269" s="184">
        <v>204</v>
      </c>
      <c r="AN269" s="272">
        <v>392.77600000000001</v>
      </c>
      <c r="AO269" s="343">
        <v>4493</v>
      </c>
      <c r="AP269" s="332">
        <v>10.299999999999999</v>
      </c>
      <c r="AQ269" s="448"/>
      <c r="AS269" s="455">
        <v>3828.7789299999999</v>
      </c>
      <c r="AT269" s="272">
        <v>13952.218210000001</v>
      </c>
      <c r="AU269" s="450"/>
      <c r="AV269" s="334">
        <v>8429.9154199999994</v>
      </c>
      <c r="AW269" s="334">
        <v>726.12743999999998</v>
      </c>
      <c r="AX269" s="334">
        <v>1871.4134299999998</v>
      </c>
      <c r="AY269" s="334">
        <v>11027.456289999998</v>
      </c>
      <c r="AZ269" s="334">
        <v>2649.4409999999998</v>
      </c>
      <c r="BA269" s="272">
        <v>413.30522999999999</v>
      </c>
      <c r="BB269" s="333">
        <v>675.83141000000001</v>
      </c>
      <c r="BC269" s="272">
        <v>247.37560000000002</v>
      </c>
      <c r="BD269" s="272">
        <v>158.54304999999999</v>
      </c>
      <c r="BE269" s="334">
        <v>3379.7643800000001</v>
      </c>
      <c r="BG269" s="331">
        <v>1194.70829</v>
      </c>
      <c r="BH269" s="331">
        <v>0</v>
      </c>
      <c r="BI269" s="331">
        <v>0</v>
      </c>
      <c r="BJ269" s="334">
        <v>2185.05609</v>
      </c>
      <c r="BK269" s="331">
        <v>0</v>
      </c>
      <c r="BL269" s="331">
        <v>0</v>
      </c>
      <c r="BM269" s="331">
        <v>0</v>
      </c>
      <c r="BN269" s="334">
        <v>2185.05609</v>
      </c>
      <c r="BP269" s="334">
        <v>1774.9667599999998</v>
      </c>
      <c r="BQ269" s="311">
        <v>2995.5274100000001</v>
      </c>
      <c r="BR269" s="272">
        <v>-384.23696999999999</v>
      </c>
      <c r="BS269" s="461">
        <v>-1003.69285</v>
      </c>
      <c r="BT269" s="272">
        <v>0</v>
      </c>
      <c r="BU269" s="272">
        <v>651.81330000000003</v>
      </c>
      <c r="BV269" s="333">
        <v>3389.8633999999997</v>
      </c>
      <c r="BX269" s="272">
        <v>10266.452070000001</v>
      </c>
      <c r="BY269" s="469">
        <v>-21</v>
      </c>
      <c r="BZ269" s="469">
        <v>-715.99593000000004</v>
      </c>
      <c r="CA269" s="552"/>
      <c r="CB269" s="335">
        <v>10.3</v>
      </c>
      <c r="CC269" s="471">
        <f t="shared" si="4"/>
        <v>10.3</v>
      </c>
      <c r="CD269" s="558"/>
      <c r="CE269" s="272"/>
      <c r="CF269" s="262"/>
      <c r="CI269" s="158">
        <v>800</v>
      </c>
      <c r="CJ269" s="331">
        <v>3145.0514054705668</v>
      </c>
      <c r="CK269" s="331">
        <v>2985.9911068323627</v>
      </c>
      <c r="CL269" s="331">
        <v>3351.9708631493595</v>
      </c>
      <c r="CM269" s="472">
        <v>3540.133905891179</v>
      </c>
      <c r="CN269" s="472">
        <v>3779.3150713808873</v>
      </c>
      <c r="CO269" s="480">
        <v>-95.445999999999998</v>
      </c>
      <c r="CP269" s="557"/>
      <c r="CQ269" s="474">
        <v>0</v>
      </c>
      <c r="CR269" s="474">
        <v>0</v>
      </c>
    </row>
    <row r="270" spans="1:96" x14ac:dyDescent="0.2">
      <c r="A270" s="154">
        <v>889</v>
      </c>
      <c r="B270" s="156" t="s">
        <v>293</v>
      </c>
      <c r="C270" s="325">
        <v>2491</v>
      </c>
      <c r="D270" s="270">
        <v>7.86</v>
      </c>
      <c r="E270" s="185"/>
      <c r="G270" s="272">
        <v>3308.43057</v>
      </c>
      <c r="H270" s="272">
        <v>13794.22464</v>
      </c>
      <c r="I270" s="272"/>
      <c r="J270" s="272">
        <v>3157.8669599999998</v>
      </c>
      <c r="K270" s="272">
        <v>828.15025000000003</v>
      </c>
      <c r="L270" s="272">
        <v>3184.38625</v>
      </c>
      <c r="M270" s="272">
        <v>7170.4034599999995</v>
      </c>
      <c r="N270" s="272">
        <v>5323.4219999999996</v>
      </c>
      <c r="O270" s="272">
        <v>126.73341000000001</v>
      </c>
      <c r="P270" s="272">
        <v>92.889619999999994</v>
      </c>
      <c r="Q270" s="272">
        <v>17.55171</v>
      </c>
      <c r="R270" s="272">
        <v>51.718789999999998</v>
      </c>
      <c r="S270" s="272">
        <v>2007.7081000000001</v>
      </c>
      <c r="U270" s="272">
        <v>1214.6948300000001</v>
      </c>
      <c r="V270" s="272">
        <v>0</v>
      </c>
      <c r="W270" s="272">
        <v>0</v>
      </c>
      <c r="X270" s="272">
        <v>793.01327000000003</v>
      </c>
      <c r="Y270" s="272">
        <v>-69.30556</v>
      </c>
      <c r="Z270" s="272">
        <v>286.45746999999994</v>
      </c>
      <c r="AA270" s="272">
        <v>0</v>
      </c>
      <c r="AB270" s="272">
        <v>575.86135999999999</v>
      </c>
      <c r="AD270" s="272">
        <v>6555.9992300000004</v>
      </c>
      <c r="AE270" s="157">
        <v>1981.8081000000002</v>
      </c>
      <c r="AF270" s="184">
        <v>-25.9</v>
      </c>
      <c r="AG270" s="272">
        <v>-2611.33977</v>
      </c>
      <c r="AH270" s="272">
        <v>754.80064000000004</v>
      </c>
      <c r="AI270" s="184">
        <v>889.35568000000001</v>
      </c>
      <c r="AJ270" s="272">
        <v>5320.6252999999997</v>
      </c>
      <c r="AL270" s="272">
        <v>10393.14983</v>
      </c>
      <c r="AM270" s="184">
        <v>41.179410000000004</v>
      </c>
      <c r="AN270" s="272">
        <v>-1207.27692</v>
      </c>
      <c r="AO270" s="343">
        <v>2466</v>
      </c>
      <c r="AP270" s="332">
        <v>8.4</v>
      </c>
      <c r="AQ270" s="448"/>
      <c r="AS270" s="455">
        <v>3197.59728</v>
      </c>
      <c r="AT270" s="272">
        <v>13465.048640000001</v>
      </c>
      <c r="AU270" s="450"/>
      <c r="AV270" s="334">
        <v>3585.9724700000002</v>
      </c>
      <c r="AW270" s="334">
        <v>630.86268000000007</v>
      </c>
      <c r="AX270" s="334">
        <v>3293.3067799999999</v>
      </c>
      <c r="AY270" s="334">
        <v>7510.1419299999998</v>
      </c>
      <c r="AZ270" s="334">
        <v>5230.2129999999997</v>
      </c>
      <c r="BA270" s="272">
        <v>148.67596</v>
      </c>
      <c r="BB270" s="333">
        <v>93.681850000000011</v>
      </c>
      <c r="BC270" s="272">
        <v>11.34224</v>
      </c>
      <c r="BD270" s="272">
        <v>7.9713500000000002</v>
      </c>
      <c r="BE270" s="334">
        <v>2531.2685699999997</v>
      </c>
      <c r="BG270" s="331">
        <v>2290.0149500000002</v>
      </c>
      <c r="BH270" s="334">
        <v>0</v>
      </c>
      <c r="BI270" s="331">
        <v>0</v>
      </c>
      <c r="BJ270" s="334">
        <v>241.25361999999998</v>
      </c>
      <c r="BK270" s="334">
        <v>-84.510190000000009</v>
      </c>
      <c r="BL270" s="331">
        <v>0</v>
      </c>
      <c r="BM270" s="334">
        <v>0</v>
      </c>
      <c r="BN270" s="334">
        <v>325.76380999999998</v>
      </c>
      <c r="BP270" s="334">
        <v>6881.7630399999998</v>
      </c>
      <c r="BQ270" s="311">
        <v>2502.9239500000003</v>
      </c>
      <c r="BR270" s="272">
        <v>-28.344619999999999</v>
      </c>
      <c r="BS270" s="461">
        <v>-5271.2588900000001</v>
      </c>
      <c r="BT270" s="272">
        <v>473.28719999999998</v>
      </c>
      <c r="BU270" s="272">
        <v>12.959620000000001</v>
      </c>
      <c r="BV270" s="333">
        <v>3715.6692000000003</v>
      </c>
      <c r="BX270" s="272">
        <v>11295.018910000001</v>
      </c>
      <c r="BY270" s="469">
        <v>31.179459999999999</v>
      </c>
      <c r="BZ270" s="469">
        <v>901.86907999999994</v>
      </c>
      <c r="CA270" s="552"/>
      <c r="CB270" s="335">
        <v>8.4</v>
      </c>
      <c r="CC270" s="471">
        <f t="shared" si="4"/>
        <v>8.4</v>
      </c>
      <c r="CD270" s="558"/>
      <c r="CE270" s="272"/>
      <c r="CF270" s="262"/>
      <c r="CI270" s="158">
        <v>0</v>
      </c>
      <c r="CJ270" s="331">
        <v>5876.8724379027663</v>
      </c>
      <c r="CK270" s="331">
        <v>6090.2376544032031</v>
      </c>
      <c r="CL270" s="331">
        <v>6325.0376663197685</v>
      </c>
      <c r="CM270" s="472">
        <v>6574.4279685852407</v>
      </c>
      <c r="CN270" s="472">
        <v>6652.1789518215155</v>
      </c>
      <c r="CO270" s="480">
        <v>671.91099999999994</v>
      </c>
      <c r="CP270" s="557"/>
      <c r="CQ270" s="474">
        <v>0</v>
      </c>
      <c r="CR270" s="474">
        <v>0</v>
      </c>
    </row>
    <row r="271" spans="1:96" x14ac:dyDescent="0.2">
      <c r="A271" s="154">
        <v>890</v>
      </c>
      <c r="B271" s="156" t="s">
        <v>294</v>
      </c>
      <c r="C271" s="325">
        <v>1139</v>
      </c>
      <c r="D271" s="270">
        <v>8.36</v>
      </c>
      <c r="E271" s="185"/>
      <c r="G271" s="272">
        <v>3388.6867099999999</v>
      </c>
      <c r="H271" s="272">
        <v>8490.6962899999999</v>
      </c>
      <c r="I271" s="272"/>
      <c r="J271" s="272">
        <v>2060.7739999999999</v>
      </c>
      <c r="K271" s="272">
        <v>120.58344</v>
      </c>
      <c r="L271" s="272">
        <v>772.57511999999997</v>
      </c>
      <c r="M271" s="272">
        <v>2953.9325600000002</v>
      </c>
      <c r="N271" s="272">
        <v>3860.1149999999998</v>
      </c>
      <c r="O271" s="272">
        <v>20.87462</v>
      </c>
      <c r="P271" s="272">
        <v>134.69459000000001</v>
      </c>
      <c r="Q271" s="272">
        <v>26.948520000000002</v>
      </c>
      <c r="R271" s="272">
        <v>5.5938299999999996</v>
      </c>
      <c r="S271" s="272">
        <v>1619.5726999999999</v>
      </c>
      <c r="U271" s="272">
        <v>781.87801999999999</v>
      </c>
      <c r="V271" s="272">
        <v>0</v>
      </c>
      <c r="W271" s="272">
        <v>0</v>
      </c>
      <c r="X271" s="272">
        <v>837.69468000000006</v>
      </c>
      <c r="Y271" s="272">
        <v>-21.825500000000002</v>
      </c>
      <c r="Z271" s="272">
        <v>0</v>
      </c>
      <c r="AA271" s="272">
        <v>0</v>
      </c>
      <c r="AB271" s="272">
        <v>859.5201800000001</v>
      </c>
      <c r="AD271" s="272">
        <v>5804.0027600000003</v>
      </c>
      <c r="AE271" s="157">
        <v>1614.0308</v>
      </c>
      <c r="AF271" s="184">
        <v>-5.5419</v>
      </c>
      <c r="AG271" s="272">
        <v>205.01405</v>
      </c>
      <c r="AH271" s="272">
        <v>17.513639999999999</v>
      </c>
      <c r="AI271" s="184">
        <v>5.5419</v>
      </c>
      <c r="AJ271" s="272">
        <v>2174.2600200000002</v>
      </c>
      <c r="AL271" s="272">
        <v>10836.056079999998</v>
      </c>
      <c r="AM271" s="184">
        <v>1.33684</v>
      </c>
      <c r="AN271" s="272">
        <v>1483.5021000000002</v>
      </c>
      <c r="AO271" s="343">
        <v>1137</v>
      </c>
      <c r="AP271" s="332">
        <v>8.4</v>
      </c>
      <c r="AQ271" s="448"/>
      <c r="AS271" s="455">
        <v>2822.0077700000002</v>
      </c>
      <c r="AT271" s="272">
        <v>8631.6460500000012</v>
      </c>
      <c r="AU271" s="450"/>
      <c r="AV271" s="334">
        <v>1936.26981</v>
      </c>
      <c r="AW271" s="334">
        <v>97.047200000000004</v>
      </c>
      <c r="AX271" s="334">
        <v>796.90818000000002</v>
      </c>
      <c r="AY271" s="334">
        <v>2830.2251900000001</v>
      </c>
      <c r="AZ271" s="334">
        <v>3391.2469999999998</v>
      </c>
      <c r="BA271" s="272">
        <v>28.39038</v>
      </c>
      <c r="BB271" s="333">
        <v>123.37922999999999</v>
      </c>
      <c r="BC271" s="272">
        <v>23.681000000000001</v>
      </c>
      <c r="BD271" s="272">
        <v>3.42943</v>
      </c>
      <c r="BE271" s="334">
        <v>337.09663</v>
      </c>
      <c r="BG271" s="331">
        <v>783.29628000000002</v>
      </c>
      <c r="BH271" s="331">
        <v>342.46249999999998</v>
      </c>
      <c r="BI271" s="331">
        <v>11.202</v>
      </c>
      <c r="BJ271" s="334">
        <v>-114.93915</v>
      </c>
      <c r="BK271" s="331">
        <v>-32.738259999999997</v>
      </c>
      <c r="BL271" s="331">
        <v>0</v>
      </c>
      <c r="BM271" s="331">
        <v>0</v>
      </c>
      <c r="BN271" s="334">
        <v>-82.200890000000001</v>
      </c>
      <c r="BP271" s="334">
        <v>5721.8018700000002</v>
      </c>
      <c r="BQ271" s="311">
        <v>668.35712999999998</v>
      </c>
      <c r="BR271" s="272">
        <v>0</v>
      </c>
      <c r="BS271" s="461">
        <v>-195.05903000000001</v>
      </c>
      <c r="BT271" s="272">
        <v>21.272189999999998</v>
      </c>
      <c r="BU271" s="272">
        <v>0</v>
      </c>
      <c r="BV271" s="333">
        <v>1129.2231499999998</v>
      </c>
      <c r="BX271" s="272">
        <v>9561.7523099999999</v>
      </c>
      <c r="BY271" s="469">
        <v>27.278490000000001</v>
      </c>
      <c r="BZ271" s="469">
        <v>-1274.30377</v>
      </c>
      <c r="CA271" s="552"/>
      <c r="CB271" s="335">
        <v>8.4</v>
      </c>
      <c r="CC271" s="471">
        <f t="shared" si="4"/>
        <v>8.4</v>
      </c>
      <c r="CD271" s="558"/>
      <c r="CE271" s="272"/>
      <c r="CF271" s="262"/>
      <c r="CG271" s="260"/>
      <c r="CI271" s="158">
        <v>800</v>
      </c>
      <c r="CJ271" s="331">
        <v>3138.0941464305802</v>
      </c>
      <c r="CK271" s="331">
        <v>3088.7846804208448</v>
      </c>
      <c r="CL271" s="331">
        <v>3034.6114299269934</v>
      </c>
      <c r="CM271" s="472">
        <v>2934.0453666977919</v>
      </c>
      <c r="CN271" s="472">
        <v>2913.1276773155892</v>
      </c>
      <c r="CO271" s="480">
        <v>330.35</v>
      </c>
      <c r="CP271" s="557"/>
      <c r="CQ271" s="474">
        <v>0</v>
      </c>
      <c r="CR271" s="474">
        <v>0</v>
      </c>
    </row>
    <row r="272" spans="1:96" x14ac:dyDescent="0.2">
      <c r="A272" s="154">
        <v>892</v>
      </c>
      <c r="B272" s="156" t="s">
        <v>295</v>
      </c>
      <c r="C272" s="325">
        <v>3615</v>
      </c>
      <c r="D272" s="270">
        <v>8.86</v>
      </c>
      <c r="E272" s="185"/>
      <c r="G272" s="272">
        <v>2850.9873199999997</v>
      </c>
      <c r="H272" s="272">
        <v>15289.59756</v>
      </c>
      <c r="I272" s="272"/>
      <c r="J272" s="272">
        <v>5487.5704599999999</v>
      </c>
      <c r="K272" s="272">
        <v>580.58769999999993</v>
      </c>
      <c r="L272" s="272">
        <v>762.42399</v>
      </c>
      <c r="M272" s="272">
        <v>6830.5821500000002</v>
      </c>
      <c r="N272" s="272">
        <v>6447.53</v>
      </c>
      <c r="O272" s="272">
        <v>138.57075</v>
      </c>
      <c r="P272" s="272">
        <v>351.75315999999998</v>
      </c>
      <c r="Q272" s="272">
        <v>228.20463000000001</v>
      </c>
      <c r="R272" s="272">
        <v>266.43248999999997</v>
      </c>
      <c r="S272" s="272">
        <v>588.09163999999998</v>
      </c>
      <c r="U272" s="272">
        <v>1122.8764900000001</v>
      </c>
      <c r="V272" s="272">
        <v>0</v>
      </c>
      <c r="W272" s="272">
        <v>525.10222999999996</v>
      </c>
      <c r="X272" s="272">
        <v>-1059.88708</v>
      </c>
      <c r="Y272" s="272">
        <v>-14.96706</v>
      </c>
      <c r="Z272" s="272">
        <v>0</v>
      </c>
      <c r="AA272" s="272">
        <v>0</v>
      </c>
      <c r="AB272" s="272">
        <v>-1044.92002</v>
      </c>
      <c r="AD272" s="272">
        <v>199.27054999999996</v>
      </c>
      <c r="AE272" s="157">
        <v>47.989419999999996</v>
      </c>
      <c r="AF272" s="184">
        <v>-15</v>
      </c>
      <c r="AG272" s="272">
        <v>-1486.7909999999999</v>
      </c>
      <c r="AH272" s="272">
        <v>35</v>
      </c>
      <c r="AI272" s="184">
        <v>221.16300000000001</v>
      </c>
      <c r="AJ272" s="272">
        <v>5621.6216199999999</v>
      </c>
      <c r="AL272" s="272">
        <v>15825.738959999999</v>
      </c>
      <c r="AM272" s="184">
        <v>74.863369999999989</v>
      </c>
      <c r="AN272" s="272">
        <v>1676.0096100000001</v>
      </c>
      <c r="AO272" s="343">
        <v>3657</v>
      </c>
      <c r="AP272" s="332">
        <v>9</v>
      </c>
      <c r="AQ272" s="448"/>
      <c r="AS272" s="455">
        <v>2678.904</v>
      </c>
      <c r="AT272" s="272">
        <v>14924.005380000001</v>
      </c>
      <c r="AU272" s="450"/>
      <c r="AV272" s="334">
        <v>5842.1842100000003</v>
      </c>
      <c r="AW272" s="334">
        <v>479.59070000000003</v>
      </c>
      <c r="AX272" s="334">
        <v>892.88876000000005</v>
      </c>
      <c r="AY272" s="334">
        <v>7214.6636699999999</v>
      </c>
      <c r="AZ272" s="334">
        <v>6870.14</v>
      </c>
      <c r="BA272" s="272">
        <v>55.501709999999996</v>
      </c>
      <c r="BB272" s="333">
        <v>463.42692</v>
      </c>
      <c r="BC272" s="272">
        <v>257.99865</v>
      </c>
      <c r="BD272" s="272">
        <v>54.924129999999998</v>
      </c>
      <c r="BE272" s="334">
        <v>1634.8516000000002</v>
      </c>
      <c r="BG272" s="331">
        <v>1193.8756899999998</v>
      </c>
      <c r="BH272" s="331">
        <v>0</v>
      </c>
      <c r="BI272" s="331">
        <v>0</v>
      </c>
      <c r="BJ272" s="334">
        <v>440.97591</v>
      </c>
      <c r="BK272" s="331">
        <v>-14.96706</v>
      </c>
      <c r="BL272" s="331">
        <v>0</v>
      </c>
      <c r="BM272" s="331">
        <v>0</v>
      </c>
      <c r="BN272" s="334">
        <v>455.94296999999995</v>
      </c>
      <c r="BP272" s="334">
        <v>655.21352000000002</v>
      </c>
      <c r="BQ272" s="311">
        <v>1570.38852</v>
      </c>
      <c r="BR272" s="272">
        <v>-64.463080000000005</v>
      </c>
      <c r="BS272" s="461">
        <v>-890.14280000000008</v>
      </c>
      <c r="BT272" s="272">
        <v>11.97</v>
      </c>
      <c r="BU272" s="272">
        <v>75.325000000000003</v>
      </c>
      <c r="BV272" s="333">
        <v>4798.5894200000002</v>
      </c>
      <c r="BX272" s="272">
        <v>14877.26895</v>
      </c>
      <c r="BY272" s="469">
        <v>0</v>
      </c>
      <c r="BZ272" s="469">
        <v>-950.48853000000008</v>
      </c>
      <c r="CA272" s="552"/>
      <c r="CB272" s="335">
        <v>9.1999999999999993</v>
      </c>
      <c r="CC272" s="471">
        <f t="shared" si="4"/>
        <v>9.1999999999999993</v>
      </c>
      <c r="CD272" s="558"/>
      <c r="CE272" s="272"/>
      <c r="CF272" s="262"/>
      <c r="CI272" s="158">
        <v>0</v>
      </c>
      <c r="CJ272" s="331">
        <v>7013.7982535113206</v>
      </c>
      <c r="CK272" s="331">
        <v>7194.9457082393983</v>
      </c>
      <c r="CL272" s="331">
        <v>7192.4116219093039</v>
      </c>
      <c r="CM272" s="472">
        <v>7248.5766048373025</v>
      </c>
      <c r="CN272" s="472">
        <v>7290.1735845109661</v>
      </c>
      <c r="CO272" s="480">
        <v>-511.58800000000002</v>
      </c>
      <c r="CP272" s="557"/>
      <c r="CQ272" s="474">
        <v>0</v>
      </c>
      <c r="CR272" s="474">
        <v>0</v>
      </c>
    </row>
    <row r="273" spans="1:96" x14ac:dyDescent="0.2">
      <c r="A273" s="154">
        <v>893</v>
      </c>
      <c r="B273" s="156" t="s">
        <v>296</v>
      </c>
      <c r="C273" s="325">
        <v>7500</v>
      </c>
      <c r="D273" s="270">
        <v>8.61</v>
      </c>
      <c r="E273" s="185"/>
      <c r="G273" s="272">
        <v>5880.5574299999998</v>
      </c>
      <c r="H273" s="272">
        <v>26397.021100000002</v>
      </c>
      <c r="I273" s="272"/>
      <c r="J273" s="272">
        <v>11888.540859999999</v>
      </c>
      <c r="K273" s="272">
        <v>2380.7387999999996</v>
      </c>
      <c r="L273" s="272">
        <v>3221.2912900000001</v>
      </c>
      <c r="M273" s="272">
        <v>17490.570949999998</v>
      </c>
      <c r="N273" s="272">
        <v>8992.3430000000008</v>
      </c>
      <c r="O273" s="272">
        <v>555.17646999999999</v>
      </c>
      <c r="P273" s="272">
        <v>1078.1512600000001</v>
      </c>
      <c r="Q273" s="272">
        <v>248.15897000000001</v>
      </c>
      <c r="R273" s="272">
        <v>4.2433300000000003</v>
      </c>
      <c r="S273" s="272">
        <v>5705.1042400000006</v>
      </c>
      <c r="U273" s="272">
        <v>2476.5020499999996</v>
      </c>
      <c r="V273" s="272">
        <v>0</v>
      </c>
      <c r="W273" s="272">
        <v>0</v>
      </c>
      <c r="X273" s="272">
        <v>3228.6021900000001</v>
      </c>
      <c r="Y273" s="272">
        <v>0</v>
      </c>
      <c r="Z273" s="272">
        <v>432.48271999999997</v>
      </c>
      <c r="AA273" s="272">
        <v>0</v>
      </c>
      <c r="AB273" s="272">
        <v>2796.1194700000001</v>
      </c>
      <c r="AD273" s="272">
        <v>15543.78088</v>
      </c>
      <c r="AE273" s="157">
        <v>5272.6215199999997</v>
      </c>
      <c r="AF273" s="184">
        <v>-432.48271999999997</v>
      </c>
      <c r="AG273" s="272">
        <v>-3899.7792799999997</v>
      </c>
      <c r="AH273" s="272">
        <v>157.97300000000001</v>
      </c>
      <c r="AI273" s="184">
        <v>676.66700000000003</v>
      </c>
      <c r="AJ273" s="272">
        <v>2223.11042</v>
      </c>
      <c r="AL273" s="272">
        <v>38735</v>
      </c>
      <c r="AM273" s="184">
        <v>-1182.37652</v>
      </c>
      <c r="AN273" s="272">
        <v>-1676.6759999999999</v>
      </c>
      <c r="AO273" s="343">
        <v>7439</v>
      </c>
      <c r="AP273" s="332">
        <v>8.6</v>
      </c>
      <c r="AQ273" s="448"/>
      <c r="AS273" s="455">
        <v>5855.1761999999999</v>
      </c>
      <c r="AT273" s="272">
        <v>27516.865739999997</v>
      </c>
      <c r="AU273" s="450"/>
      <c r="AV273" s="334">
        <v>12444.529259999999</v>
      </c>
      <c r="AW273" s="334">
        <v>2028.19119</v>
      </c>
      <c r="AX273" s="334">
        <v>3530.2558399999998</v>
      </c>
      <c r="AY273" s="334">
        <v>18002.976289999999</v>
      </c>
      <c r="AZ273" s="334">
        <v>9515.73</v>
      </c>
      <c r="BA273" s="272">
        <v>870.94137999999998</v>
      </c>
      <c r="BB273" s="333">
        <v>1083.4842699999999</v>
      </c>
      <c r="BC273" s="272">
        <v>336.11095</v>
      </c>
      <c r="BD273" s="272">
        <v>3.37263</v>
      </c>
      <c r="BE273" s="334">
        <v>5977.2121799999995</v>
      </c>
      <c r="BG273" s="331">
        <v>3361.1917200000003</v>
      </c>
      <c r="BH273" s="331">
        <v>0</v>
      </c>
      <c r="BI273" s="331">
        <v>0</v>
      </c>
      <c r="BJ273" s="334">
        <v>2616.0204600000002</v>
      </c>
      <c r="BK273" s="334">
        <v>0</v>
      </c>
      <c r="BL273" s="331">
        <v>190.83864000000003</v>
      </c>
      <c r="BM273" s="331">
        <v>0</v>
      </c>
      <c r="BN273" s="334">
        <v>2425.1818199999998</v>
      </c>
      <c r="BP273" s="334">
        <v>17968.9627</v>
      </c>
      <c r="BQ273" s="311">
        <v>5786.3735399999996</v>
      </c>
      <c r="BR273" s="272">
        <v>-190.83864000000003</v>
      </c>
      <c r="BS273" s="461">
        <v>-3247.47496</v>
      </c>
      <c r="BT273" s="272">
        <v>903.73299999999995</v>
      </c>
      <c r="BU273" s="272">
        <v>305.048</v>
      </c>
      <c r="BV273" s="333">
        <v>2857.6751300000001</v>
      </c>
      <c r="BX273" s="272">
        <v>34595</v>
      </c>
      <c r="BY273" s="469">
        <v>326.95784000000003</v>
      </c>
      <c r="BZ273" s="469">
        <v>-4140</v>
      </c>
      <c r="CA273" s="552"/>
      <c r="CB273" s="335">
        <v>8.6</v>
      </c>
      <c r="CC273" s="471">
        <f t="shared" si="4"/>
        <v>8.6</v>
      </c>
      <c r="CD273" s="558"/>
      <c r="CE273" s="272"/>
      <c r="CF273" s="262"/>
      <c r="CI273" s="158">
        <v>0</v>
      </c>
      <c r="CJ273" s="331">
        <v>10115.730595974315</v>
      </c>
      <c r="CK273" s="331">
        <v>10238.668640037167</v>
      </c>
      <c r="CL273" s="331">
        <v>10193.936406925544</v>
      </c>
      <c r="CM273" s="472">
        <v>11065.524114053416</v>
      </c>
      <c r="CN273" s="472">
        <v>11422.35226274181</v>
      </c>
      <c r="CO273" s="480">
        <v>144.59</v>
      </c>
      <c r="CP273" s="557"/>
      <c r="CQ273" s="474">
        <v>17.71311</v>
      </c>
      <c r="CR273" s="474">
        <v>0</v>
      </c>
    </row>
    <row r="274" spans="1:96" x14ac:dyDescent="0.2">
      <c r="A274" s="154">
        <v>895</v>
      </c>
      <c r="B274" s="156" t="s">
        <v>297</v>
      </c>
      <c r="C274" s="325">
        <v>14938</v>
      </c>
      <c r="D274" s="270">
        <v>8.11</v>
      </c>
      <c r="E274" s="185"/>
      <c r="G274" s="272">
        <v>15669.95091</v>
      </c>
      <c r="H274" s="272">
        <v>51733.488859999998</v>
      </c>
      <c r="I274" s="272"/>
      <c r="J274" s="272">
        <v>27948.424660000001</v>
      </c>
      <c r="K274" s="272">
        <v>5588.7334299999993</v>
      </c>
      <c r="L274" s="272">
        <v>5740.5735100000002</v>
      </c>
      <c r="M274" s="272">
        <v>39277.731599999999</v>
      </c>
      <c r="N274" s="272">
        <v>7303.5259999999998</v>
      </c>
      <c r="O274" s="272">
        <v>124.30242999999999</v>
      </c>
      <c r="P274" s="272">
        <v>586.47933999999998</v>
      </c>
      <c r="Q274" s="272">
        <v>1097.6481399999998</v>
      </c>
      <c r="R274" s="272">
        <v>6.1452</v>
      </c>
      <c r="S274" s="272">
        <v>11768.34347</v>
      </c>
      <c r="U274" s="272">
        <v>6940.5024100000001</v>
      </c>
      <c r="V274" s="272">
        <v>0</v>
      </c>
      <c r="W274" s="272">
        <v>0</v>
      </c>
      <c r="X274" s="272">
        <v>4827.8410599999997</v>
      </c>
      <c r="Y274" s="272">
        <v>-297.03687000000002</v>
      </c>
      <c r="Z274" s="272">
        <v>0</v>
      </c>
      <c r="AA274" s="272">
        <v>21.097380000000001</v>
      </c>
      <c r="AB274" s="272">
        <v>5103.7805499999995</v>
      </c>
      <c r="AD274" s="272">
        <v>22920.05659</v>
      </c>
      <c r="AE274" s="157">
        <v>11468.205800000002</v>
      </c>
      <c r="AF274" s="184">
        <v>-300.13765999999998</v>
      </c>
      <c r="AG274" s="272">
        <v>-19308.696319999999</v>
      </c>
      <c r="AH274" s="272">
        <v>911.34</v>
      </c>
      <c r="AI274" s="184">
        <v>445.71249</v>
      </c>
      <c r="AJ274" s="272">
        <v>8777.082699999999</v>
      </c>
      <c r="AL274" s="272">
        <v>64225.346709999998</v>
      </c>
      <c r="AM274" s="184">
        <v>80</v>
      </c>
      <c r="AN274" s="272">
        <v>8632.3019299999996</v>
      </c>
      <c r="AO274" s="343">
        <v>14814</v>
      </c>
      <c r="AP274" s="332">
        <v>8.6</v>
      </c>
      <c r="AQ274" s="448"/>
      <c r="AS274" s="455">
        <v>15341.24005</v>
      </c>
      <c r="AT274" s="272">
        <v>50837.017950000001</v>
      </c>
      <c r="AU274" s="450"/>
      <c r="AV274" s="334">
        <v>28336.026719999998</v>
      </c>
      <c r="AW274" s="334">
        <v>6426.4002099999998</v>
      </c>
      <c r="AX274" s="334">
        <v>6355.2318600000008</v>
      </c>
      <c r="AY274" s="334">
        <v>41117.658790000001</v>
      </c>
      <c r="AZ274" s="334">
        <v>6005.29</v>
      </c>
      <c r="BA274" s="272">
        <v>229.31354999999999</v>
      </c>
      <c r="BB274" s="333">
        <v>911.89821999999992</v>
      </c>
      <c r="BC274" s="272">
        <v>965.30313999999998</v>
      </c>
      <c r="BD274" s="272">
        <v>7.0177299999999994</v>
      </c>
      <c r="BE274" s="334">
        <v>12441.968150000001</v>
      </c>
      <c r="BG274" s="331">
        <v>11474.756210000001</v>
      </c>
      <c r="BH274" s="331">
        <v>0</v>
      </c>
      <c r="BI274" s="331">
        <v>348.12781999999999</v>
      </c>
      <c r="BJ274" s="334">
        <v>619.08411999999998</v>
      </c>
      <c r="BK274" s="334">
        <v>-363.09040999999996</v>
      </c>
      <c r="BL274" s="331">
        <v>500</v>
      </c>
      <c r="BM274" s="331">
        <v>23.20711</v>
      </c>
      <c r="BN274" s="334">
        <v>458.96742</v>
      </c>
      <c r="BP274" s="334">
        <v>22436.718920000003</v>
      </c>
      <c r="BQ274" s="311">
        <v>11871.41992</v>
      </c>
      <c r="BR274" s="272">
        <v>-222.42041</v>
      </c>
      <c r="BS274" s="461">
        <v>-18813.157039999998</v>
      </c>
      <c r="BT274" s="272">
        <v>250</v>
      </c>
      <c r="BU274" s="272">
        <v>607.40993000000003</v>
      </c>
      <c r="BV274" s="333">
        <v>6242.5955600000007</v>
      </c>
      <c r="BX274" s="272">
        <v>70347.665540000002</v>
      </c>
      <c r="BY274" s="469">
        <v>80</v>
      </c>
      <c r="BZ274" s="469">
        <v>6122.3188300000002</v>
      </c>
      <c r="CA274" s="552"/>
      <c r="CB274" s="335">
        <v>8.6</v>
      </c>
      <c r="CC274" s="471">
        <f t="shared" si="4"/>
        <v>8.6</v>
      </c>
      <c r="CD274" s="558"/>
      <c r="CE274" s="272"/>
      <c r="CF274" s="262"/>
      <c r="CI274" s="158">
        <v>1500</v>
      </c>
      <c r="CJ274" s="331">
        <v>6516.2196722113104</v>
      </c>
      <c r="CK274" s="331">
        <v>5315.0674380031633</v>
      </c>
      <c r="CL274" s="331">
        <v>6947.1048473864766</v>
      </c>
      <c r="CM274" s="472">
        <v>7515.7217485012488</v>
      </c>
      <c r="CN274" s="472">
        <v>7556.3918805106614</v>
      </c>
      <c r="CO274" s="480">
        <v>-1419.682</v>
      </c>
      <c r="CP274" s="557"/>
      <c r="CQ274" s="474">
        <v>621.29779000000008</v>
      </c>
      <c r="CR274" s="474">
        <v>539.09652000000006</v>
      </c>
    </row>
    <row r="275" spans="1:96" x14ac:dyDescent="0.2">
      <c r="A275" s="154">
        <v>785</v>
      </c>
      <c r="B275" s="156" t="s">
        <v>24</v>
      </c>
      <c r="C275" s="325">
        <v>2589</v>
      </c>
      <c r="D275" s="270">
        <v>8.36</v>
      </c>
      <c r="E275" s="185"/>
      <c r="G275" s="272">
        <v>2243.3396499999999</v>
      </c>
      <c r="H275" s="272">
        <v>13149.88198</v>
      </c>
      <c r="I275" s="272"/>
      <c r="J275" s="272">
        <v>3829.982</v>
      </c>
      <c r="K275" s="272">
        <v>591.58715000000007</v>
      </c>
      <c r="L275" s="272">
        <v>4070.2150799999999</v>
      </c>
      <c r="M275" s="272">
        <v>8491.7842300000011</v>
      </c>
      <c r="N275" s="272">
        <v>5191.018</v>
      </c>
      <c r="O275" s="272">
        <v>103.35793</v>
      </c>
      <c r="P275" s="272">
        <v>202.41300000000001</v>
      </c>
      <c r="Q275" s="272">
        <v>8.2458099999999988</v>
      </c>
      <c r="R275" s="272">
        <v>5.70296</v>
      </c>
      <c r="S275" s="272">
        <v>2685.3300800000002</v>
      </c>
      <c r="U275" s="272">
        <v>1867.81106</v>
      </c>
      <c r="V275" s="272">
        <v>0</v>
      </c>
      <c r="W275" s="272">
        <v>0</v>
      </c>
      <c r="X275" s="272">
        <v>817.51902000000007</v>
      </c>
      <c r="Y275" s="272">
        <v>-44.349539999999998</v>
      </c>
      <c r="Z275" s="272">
        <v>202.37609</v>
      </c>
      <c r="AA275" s="272">
        <v>0</v>
      </c>
      <c r="AB275" s="272">
        <v>659.49247000000003</v>
      </c>
      <c r="AD275" s="272">
        <v>5548.2172399999999</v>
      </c>
      <c r="AE275" s="157">
        <v>2482.9539900000004</v>
      </c>
      <c r="AF275" s="184">
        <v>-202.37609</v>
      </c>
      <c r="AG275" s="272">
        <v>-1823.4411100000002</v>
      </c>
      <c r="AH275" s="272">
        <v>127.15195</v>
      </c>
      <c r="AI275" s="184">
        <v>29.156860000000002</v>
      </c>
      <c r="AJ275" s="272">
        <v>1978.09926</v>
      </c>
      <c r="AL275" s="272">
        <v>4965.527</v>
      </c>
      <c r="AM275" s="184">
        <v>9.5500000000000007</v>
      </c>
      <c r="AN275" s="272">
        <v>-1510.152</v>
      </c>
      <c r="AO275" s="343">
        <v>2581</v>
      </c>
      <c r="AP275" s="332">
        <v>8.3000000000000007</v>
      </c>
      <c r="AQ275" s="448"/>
      <c r="AS275" s="455">
        <v>1644.57891</v>
      </c>
      <c r="AT275" s="272">
        <v>13196.971390000001</v>
      </c>
      <c r="AU275" s="450"/>
      <c r="AV275" s="334">
        <v>3626.6974599999999</v>
      </c>
      <c r="AW275" s="334">
        <v>506.45341999999999</v>
      </c>
      <c r="AX275" s="334">
        <v>4305.8826799999997</v>
      </c>
      <c r="AY275" s="334">
        <v>8439.0335599999999</v>
      </c>
      <c r="AZ275" s="334">
        <v>5448.9650000000001</v>
      </c>
      <c r="BA275" s="272">
        <v>46.812669999999997</v>
      </c>
      <c r="BB275" s="333">
        <v>147.18562</v>
      </c>
      <c r="BC275" s="272">
        <v>10.601559999999999</v>
      </c>
      <c r="BD275" s="272">
        <v>0.62178999999999995</v>
      </c>
      <c r="BE275" s="334">
        <v>2245.2129</v>
      </c>
      <c r="BG275" s="331">
        <v>1797.4451100000001</v>
      </c>
      <c r="BH275" s="331">
        <v>0</v>
      </c>
      <c r="BI275" s="331">
        <v>0</v>
      </c>
      <c r="BJ275" s="334">
        <v>447.76778999999999</v>
      </c>
      <c r="BK275" s="331">
        <v>0</v>
      </c>
      <c r="BL275" s="334">
        <v>344.59828999999996</v>
      </c>
      <c r="BM275" s="331">
        <v>0</v>
      </c>
      <c r="BN275" s="334">
        <v>103.1695</v>
      </c>
      <c r="BP275" s="334">
        <v>5582.7663000000002</v>
      </c>
      <c r="BQ275" s="311">
        <v>1900.6146100000001</v>
      </c>
      <c r="BR275" s="272">
        <v>-344.59828999999996</v>
      </c>
      <c r="BS275" s="461">
        <v>-2067.2006999999999</v>
      </c>
      <c r="BT275" s="272">
        <v>26.4</v>
      </c>
      <c r="BU275" s="272">
        <v>255.89398</v>
      </c>
      <c r="BV275" s="333">
        <v>1072.84006</v>
      </c>
      <c r="BX275" s="272">
        <v>3555.375</v>
      </c>
      <c r="BY275" s="469">
        <v>9.5500000000000007</v>
      </c>
      <c r="BZ275" s="469">
        <v>-1410.152</v>
      </c>
      <c r="CA275" s="552"/>
      <c r="CB275" s="335">
        <v>8.3000000000000007</v>
      </c>
      <c r="CC275" s="471">
        <f t="shared" si="4"/>
        <v>8.3000000000000007</v>
      </c>
      <c r="CD275" s="558"/>
      <c r="CE275" s="272"/>
      <c r="CF275" s="262"/>
      <c r="CG275" s="260"/>
      <c r="CI275" s="158">
        <v>0</v>
      </c>
      <c r="CJ275" s="331">
        <v>5946.638820173438</v>
      </c>
      <c r="CK275" s="331">
        <v>5751.92026589528</v>
      </c>
      <c r="CL275" s="331">
        <v>6017.0288862162688</v>
      </c>
      <c r="CM275" s="472">
        <v>6125.030491100074</v>
      </c>
      <c r="CN275" s="472">
        <v>6175.8208918632772</v>
      </c>
      <c r="CO275" s="480">
        <v>63.823</v>
      </c>
      <c r="CP275" s="557"/>
      <c r="CQ275" s="474">
        <v>5.5823999999999998</v>
      </c>
      <c r="CR275" s="474">
        <v>0</v>
      </c>
    </row>
    <row r="276" spans="1:96" x14ac:dyDescent="0.2">
      <c r="A276" s="154">
        <v>905</v>
      </c>
      <c r="B276" s="156" t="s">
        <v>298</v>
      </c>
      <c r="C276" s="325">
        <v>68956</v>
      </c>
      <c r="D276" s="270">
        <v>8.36</v>
      </c>
      <c r="E276" s="185"/>
      <c r="G276" s="272">
        <v>83574.496319999991</v>
      </c>
      <c r="H276" s="272">
        <v>275637.71254000004</v>
      </c>
      <c r="I276" s="272"/>
      <c r="J276" s="272">
        <v>137754.39969999998</v>
      </c>
      <c r="K276" s="272">
        <v>23709.776890000001</v>
      </c>
      <c r="L276" s="272">
        <v>26676.945510000001</v>
      </c>
      <c r="M276" s="272">
        <v>188141.12210000001</v>
      </c>
      <c r="N276" s="272">
        <v>49140.081180000001</v>
      </c>
      <c r="O276" s="272">
        <v>1010.59738</v>
      </c>
      <c r="P276" s="272">
        <v>7164.5625899999995</v>
      </c>
      <c r="Q276" s="272">
        <v>6696.5884800000003</v>
      </c>
      <c r="R276" s="272">
        <v>92.055679999999995</v>
      </c>
      <c r="S276" s="272">
        <v>47588.098969999999</v>
      </c>
      <c r="U276" s="272">
        <v>33670.148070000003</v>
      </c>
      <c r="V276" s="272">
        <v>0</v>
      </c>
      <c r="W276" s="272">
        <v>0</v>
      </c>
      <c r="X276" s="272">
        <v>13917.9509</v>
      </c>
      <c r="Y276" s="272">
        <v>-378.98187000000001</v>
      </c>
      <c r="Z276" s="272">
        <v>-100</v>
      </c>
      <c r="AA276" s="272">
        <v>-31.223189999999999</v>
      </c>
      <c r="AB276" s="272">
        <v>14428.15596</v>
      </c>
      <c r="AD276" s="272">
        <v>22587.7431</v>
      </c>
      <c r="AE276" s="157">
        <v>45485.82389</v>
      </c>
      <c r="AF276" s="184">
        <v>-2102.2749700000004</v>
      </c>
      <c r="AG276" s="272">
        <v>-51319.713060000002</v>
      </c>
      <c r="AH276" s="272">
        <v>434.72960999999998</v>
      </c>
      <c r="AI276" s="184">
        <v>3944.98252</v>
      </c>
      <c r="AJ276" s="272">
        <v>16121.5872</v>
      </c>
      <c r="AL276" s="272">
        <v>352442.10354000004</v>
      </c>
      <c r="AM276" s="184">
        <v>534.90188000000001</v>
      </c>
      <c r="AN276" s="272">
        <v>24878.747319999999</v>
      </c>
      <c r="AO276" s="343">
        <v>70361</v>
      </c>
      <c r="AP276" s="332">
        <v>8.4</v>
      </c>
      <c r="AQ276" s="448"/>
      <c r="AS276" s="455">
        <v>80518.076310000004</v>
      </c>
      <c r="AT276" s="272">
        <v>266509.20621999999</v>
      </c>
      <c r="AU276" s="450"/>
      <c r="AV276" s="334">
        <v>133143.6219</v>
      </c>
      <c r="AW276" s="334">
        <v>18767.516339999998</v>
      </c>
      <c r="AX276" s="334">
        <v>26596.033079999997</v>
      </c>
      <c r="AY276" s="334">
        <v>178507.17131999999</v>
      </c>
      <c r="AZ276" s="334">
        <v>42481.067000000003</v>
      </c>
      <c r="BA276" s="272">
        <v>5201.7094100000004</v>
      </c>
      <c r="BB276" s="333">
        <v>11435.32431</v>
      </c>
      <c r="BC276" s="272">
        <v>16642.846079999999</v>
      </c>
      <c r="BD276" s="272">
        <v>36.2455</v>
      </c>
      <c r="BE276" s="334">
        <v>47339.697990000001</v>
      </c>
      <c r="BG276" s="331">
        <v>38857.579859999998</v>
      </c>
      <c r="BH276" s="331">
        <v>0</v>
      </c>
      <c r="BI276" s="331">
        <v>0</v>
      </c>
      <c r="BJ276" s="334">
        <v>8482.1181300000007</v>
      </c>
      <c r="BK276" s="334">
        <v>-526.00115000000005</v>
      </c>
      <c r="BL276" s="334">
        <v>6000</v>
      </c>
      <c r="BM276" s="334">
        <v>0</v>
      </c>
      <c r="BN276" s="334">
        <v>3008.1192799999999</v>
      </c>
      <c r="BP276" s="334">
        <v>25525.648840000002</v>
      </c>
      <c r="BQ276" s="311">
        <v>45804.082829999999</v>
      </c>
      <c r="BR276" s="272">
        <v>-1535.6151599999998</v>
      </c>
      <c r="BS276" s="461">
        <v>-50409.522130000005</v>
      </c>
      <c r="BT276" s="272">
        <v>823.43624999999997</v>
      </c>
      <c r="BU276" s="272">
        <v>3019.4837499999999</v>
      </c>
      <c r="BV276" s="333">
        <v>12475.482910000001</v>
      </c>
      <c r="BX276" s="272">
        <v>347429.35444000002</v>
      </c>
      <c r="BY276" s="469">
        <v>-946.26729</v>
      </c>
      <c r="BZ276" s="469">
        <v>-5012.7490399999997</v>
      </c>
      <c r="CA276" s="552"/>
      <c r="CB276" s="335">
        <v>8.4</v>
      </c>
      <c r="CC276" s="471">
        <f t="shared" si="4"/>
        <v>8.4</v>
      </c>
      <c r="CD276" s="558"/>
      <c r="CE276" s="272"/>
      <c r="CF276" s="262"/>
      <c r="CI276" s="158">
        <v>0</v>
      </c>
      <c r="CJ276" s="331">
        <v>55004.755590862434</v>
      </c>
      <c r="CK276" s="331">
        <v>62696.799917249125</v>
      </c>
      <c r="CL276" s="331">
        <v>67503.674416654467</v>
      </c>
      <c r="CM276" s="472">
        <v>69892.579676095775</v>
      </c>
      <c r="CN276" s="472">
        <v>71810.042315005616</v>
      </c>
      <c r="CO276" s="480">
        <v>34320.74</v>
      </c>
      <c r="CP276" s="557"/>
      <c r="CQ276" s="474">
        <v>1919.54432</v>
      </c>
      <c r="CR276" s="474">
        <v>1725.9509499999999</v>
      </c>
    </row>
    <row r="277" spans="1:96" x14ac:dyDescent="0.2">
      <c r="A277" s="154">
        <v>908</v>
      </c>
      <c r="B277" s="156" t="s">
        <v>299</v>
      </c>
      <c r="C277" s="325">
        <v>20694</v>
      </c>
      <c r="D277" s="270">
        <v>7.61</v>
      </c>
      <c r="E277" s="185"/>
      <c r="G277" s="272">
        <v>20499.957180000005</v>
      </c>
      <c r="H277" s="272">
        <v>73884.686489999993</v>
      </c>
      <c r="I277" s="272"/>
      <c r="J277" s="272">
        <v>37498.425369999997</v>
      </c>
      <c r="K277" s="272">
        <v>5477.5452599999999</v>
      </c>
      <c r="L277" s="272">
        <v>6168.6607400000003</v>
      </c>
      <c r="M277" s="272">
        <v>49144.631369999996</v>
      </c>
      <c r="N277" s="272">
        <v>12682.151</v>
      </c>
      <c r="O277" s="272">
        <v>323.3304</v>
      </c>
      <c r="P277" s="272">
        <v>881.01881000000003</v>
      </c>
      <c r="Q277" s="272">
        <v>1253.6422399999999</v>
      </c>
      <c r="R277" s="272">
        <v>6.9079899999999999</v>
      </c>
      <c r="S277" s="272">
        <v>9392.3819499999991</v>
      </c>
      <c r="U277" s="272">
        <v>9511.8847899999982</v>
      </c>
      <c r="V277" s="272">
        <v>0</v>
      </c>
      <c r="W277" s="272">
        <v>0</v>
      </c>
      <c r="X277" s="272">
        <v>-119.50283999999999</v>
      </c>
      <c r="Y277" s="272">
        <v>-326.90735999999998</v>
      </c>
      <c r="Z277" s="272">
        <v>0</v>
      </c>
      <c r="AA277" s="272">
        <v>0</v>
      </c>
      <c r="AB277" s="272">
        <v>207.40451999999999</v>
      </c>
      <c r="AD277" s="272">
        <v>2079.8213500000002</v>
      </c>
      <c r="AE277" s="157">
        <v>8724.067070000001</v>
      </c>
      <c r="AF277" s="184">
        <v>-668.31488000000002</v>
      </c>
      <c r="AG277" s="272">
        <v>-21636.244620000001</v>
      </c>
      <c r="AH277" s="272">
        <v>233.4375</v>
      </c>
      <c r="AI277" s="184">
        <v>704.97513000000004</v>
      </c>
      <c r="AJ277" s="272">
        <v>6390.2313899999999</v>
      </c>
      <c r="AL277" s="272">
        <v>85943.092990000005</v>
      </c>
      <c r="AM277" s="184">
        <v>958.46204</v>
      </c>
      <c r="AN277" s="272">
        <v>5863.7181</v>
      </c>
      <c r="AO277" s="343">
        <v>20847</v>
      </c>
      <c r="AP277" s="332">
        <v>8.9</v>
      </c>
      <c r="AQ277" s="448"/>
      <c r="AS277" s="455">
        <v>20823.952880000001</v>
      </c>
      <c r="AT277" s="272">
        <v>74432.240640000004</v>
      </c>
      <c r="AU277" s="450"/>
      <c r="AV277" s="334">
        <v>41206.581399999995</v>
      </c>
      <c r="AW277" s="334">
        <v>4741.8207999999995</v>
      </c>
      <c r="AX277" s="334">
        <v>4831.05033</v>
      </c>
      <c r="AY277" s="334">
        <v>50779.452530000002</v>
      </c>
      <c r="AZ277" s="334">
        <v>8239.9779999999992</v>
      </c>
      <c r="BA277" s="272">
        <v>731.30531000000008</v>
      </c>
      <c r="BB277" s="333">
        <v>2136.6099599999998</v>
      </c>
      <c r="BC277" s="272">
        <v>2172.6522099999997</v>
      </c>
      <c r="BD277" s="272">
        <v>2.15056</v>
      </c>
      <c r="BE277" s="334">
        <v>6237.5525299999999</v>
      </c>
      <c r="BG277" s="331">
        <v>9422.0577499999999</v>
      </c>
      <c r="BH277" s="331">
        <v>0</v>
      </c>
      <c r="BI277" s="331">
        <v>0</v>
      </c>
      <c r="BJ277" s="334">
        <v>-3184.50522</v>
      </c>
      <c r="BK277" s="334">
        <v>-326.64696000000004</v>
      </c>
      <c r="BL277" s="334">
        <v>0</v>
      </c>
      <c r="BM277" s="334">
        <v>0</v>
      </c>
      <c r="BN277" s="334">
        <v>-2857.85826</v>
      </c>
      <c r="BP277" s="334">
        <v>-778.03690999999969</v>
      </c>
      <c r="BQ277" s="311">
        <v>5439.3389699999998</v>
      </c>
      <c r="BR277" s="272">
        <v>-798.21356000000003</v>
      </c>
      <c r="BS277" s="461">
        <v>-21532.257100000003</v>
      </c>
      <c r="BT277" s="272">
        <v>517.54300000000001</v>
      </c>
      <c r="BU277" s="272">
        <v>880.29849999999999</v>
      </c>
      <c r="BV277" s="333">
        <v>6391.9305599999998</v>
      </c>
      <c r="BX277" s="272">
        <v>101230.75448999999</v>
      </c>
      <c r="BY277" s="469">
        <v>178.46304000000001</v>
      </c>
      <c r="BZ277" s="469">
        <v>15287.6615</v>
      </c>
      <c r="CA277" s="552"/>
      <c r="CB277" s="335">
        <v>8.9</v>
      </c>
      <c r="CC277" s="471">
        <f t="shared" si="4"/>
        <v>8.9</v>
      </c>
      <c r="CD277" s="558"/>
      <c r="CE277" s="272"/>
      <c r="CF277" s="262"/>
      <c r="CI277" s="158">
        <v>0</v>
      </c>
      <c r="CJ277" s="331">
        <v>11095.314852785961</v>
      </c>
      <c r="CK277" s="331">
        <v>11791.26545068668</v>
      </c>
      <c r="CL277" s="331">
        <v>12594.656727481892</v>
      </c>
      <c r="CM277" s="472">
        <v>12706.178753718203</v>
      </c>
      <c r="CN277" s="472">
        <v>13118.105453277098</v>
      </c>
      <c r="CO277" s="480">
        <v>1725.8979999999999</v>
      </c>
      <c r="CP277" s="557"/>
      <c r="CQ277" s="474">
        <v>261.28305</v>
      </c>
      <c r="CR277" s="474">
        <v>61.212760000000003</v>
      </c>
    </row>
    <row r="278" spans="1:96" x14ac:dyDescent="0.2">
      <c r="A278" s="154">
        <v>92</v>
      </c>
      <c r="B278" s="156" t="s">
        <v>300</v>
      </c>
      <c r="C278" s="325">
        <v>247443</v>
      </c>
      <c r="D278" s="270">
        <v>6.36</v>
      </c>
      <c r="E278" s="185"/>
      <c r="G278" s="272">
        <v>158641.91045</v>
      </c>
      <c r="H278" s="272">
        <v>832692.27815000003</v>
      </c>
      <c r="I278" s="272"/>
      <c r="J278" s="272">
        <v>431249.35191000003</v>
      </c>
      <c r="K278" s="272">
        <v>95335.716650000002</v>
      </c>
      <c r="L278" s="272">
        <v>112093.60262000001</v>
      </c>
      <c r="M278" s="272">
        <v>638678.67117999995</v>
      </c>
      <c r="N278" s="272">
        <v>179656.46799999999</v>
      </c>
      <c r="O278" s="272">
        <v>17944.17236</v>
      </c>
      <c r="P278" s="272">
        <v>13989.6181</v>
      </c>
      <c r="Q278" s="272">
        <v>13828.59</v>
      </c>
      <c r="R278" s="272">
        <v>80.190759999999997</v>
      </c>
      <c r="S278" s="272">
        <v>161987.72498</v>
      </c>
      <c r="U278" s="272">
        <v>111844.37809999999</v>
      </c>
      <c r="V278" s="272">
        <v>0</v>
      </c>
      <c r="W278" s="272">
        <v>0</v>
      </c>
      <c r="X278" s="272">
        <v>50143.346880000005</v>
      </c>
      <c r="Y278" s="272">
        <v>0</v>
      </c>
      <c r="Z278" s="272">
        <v>0</v>
      </c>
      <c r="AA278" s="272">
        <v>2465.1714400000001</v>
      </c>
      <c r="AB278" s="272">
        <v>47678.175439999999</v>
      </c>
      <c r="AD278" s="272">
        <v>603161.32293999998</v>
      </c>
      <c r="AE278" s="157">
        <v>151416.62911000001</v>
      </c>
      <c r="AF278" s="184">
        <v>-10571.095869999999</v>
      </c>
      <c r="AG278" s="272">
        <v>-166819.23353999999</v>
      </c>
      <c r="AH278" s="272">
        <v>4379.0212300000003</v>
      </c>
      <c r="AI278" s="184">
        <v>13052.397650000001</v>
      </c>
      <c r="AJ278" s="272">
        <v>116043.93962</v>
      </c>
      <c r="AL278" s="272">
        <v>854068.92072000005</v>
      </c>
      <c r="AM278" s="184">
        <v>11906.303519999999</v>
      </c>
      <c r="AN278" s="272">
        <v>46866.229930000001</v>
      </c>
      <c r="AO278" s="343">
        <v>251269</v>
      </c>
      <c r="AP278" s="332">
        <v>6.4</v>
      </c>
      <c r="AQ278" s="448"/>
      <c r="AS278" s="455">
        <v>146238.19866999998</v>
      </c>
      <c r="AT278" s="272">
        <v>862678.14665999997</v>
      </c>
      <c r="AU278" s="450"/>
      <c r="AV278" s="334">
        <v>398766.08567</v>
      </c>
      <c r="AW278" s="334">
        <v>74771.774620000011</v>
      </c>
      <c r="AX278" s="334">
        <v>111625.17331</v>
      </c>
      <c r="AY278" s="334">
        <v>585163.03359999997</v>
      </c>
      <c r="AZ278" s="334">
        <v>179141.91699999999</v>
      </c>
      <c r="BA278" s="272">
        <v>18794.644049999999</v>
      </c>
      <c r="BB278" s="333">
        <v>23033.526959999999</v>
      </c>
      <c r="BC278" s="272">
        <v>15532.94478</v>
      </c>
      <c r="BD278" s="272">
        <v>322.25524000000001</v>
      </c>
      <c r="BE278" s="334">
        <v>58836.809240000002</v>
      </c>
      <c r="BG278" s="331">
        <v>114183.27699</v>
      </c>
      <c r="BH278" s="331">
        <v>463.61917999999997</v>
      </c>
      <c r="BI278" s="331">
        <v>3909.7918199999999</v>
      </c>
      <c r="BJ278" s="334">
        <v>-58792.64039</v>
      </c>
      <c r="BK278" s="334">
        <v>0</v>
      </c>
      <c r="BL278" s="334">
        <v>0</v>
      </c>
      <c r="BM278" s="334">
        <v>2460.74881</v>
      </c>
      <c r="BN278" s="334">
        <v>-61253.389200000005</v>
      </c>
      <c r="BP278" s="334">
        <v>542904.92362999998</v>
      </c>
      <c r="BQ278" s="311">
        <v>45699.427649999998</v>
      </c>
      <c r="BR278" s="272">
        <v>-9691.2089499999984</v>
      </c>
      <c r="BS278" s="461">
        <v>-149551.19177999999</v>
      </c>
      <c r="BT278" s="272">
        <v>2044.8784499999999</v>
      </c>
      <c r="BU278" s="272">
        <v>15737.67993</v>
      </c>
      <c r="BV278" s="333">
        <v>60263.693330000009</v>
      </c>
      <c r="BX278" s="272">
        <v>861244.45824000007</v>
      </c>
      <c r="BY278" s="469">
        <v>6172.3310799999999</v>
      </c>
      <c r="BZ278" s="469">
        <v>69651.005650000006</v>
      </c>
      <c r="CA278" s="552"/>
      <c r="CB278" s="335">
        <v>6.4</v>
      </c>
      <c r="CC278" s="471">
        <f t="shared" si="4"/>
        <v>6.4</v>
      </c>
      <c r="CD278" s="558"/>
      <c r="CE278" s="272"/>
      <c r="CF278" s="262"/>
      <c r="CI278" s="158">
        <v>0</v>
      </c>
      <c r="CJ278" s="331">
        <v>236214.19750694107</v>
      </c>
      <c r="CK278" s="331">
        <v>262925.01220046077</v>
      </c>
      <c r="CL278" s="331">
        <v>271184.69522399182</v>
      </c>
      <c r="CM278" s="472">
        <v>293141.67810835945</v>
      </c>
      <c r="CN278" s="472">
        <v>302501.78785020672</v>
      </c>
      <c r="CO278" s="480">
        <v>34790.845999999998</v>
      </c>
      <c r="CP278" s="557"/>
      <c r="CQ278" s="474">
        <v>0</v>
      </c>
      <c r="CR278" s="474">
        <v>0</v>
      </c>
    </row>
    <row r="279" spans="1:96" x14ac:dyDescent="0.2">
      <c r="A279" s="154">
        <v>915</v>
      </c>
      <c r="B279" s="156" t="s">
        <v>301</v>
      </c>
      <c r="C279" s="325">
        <v>19727</v>
      </c>
      <c r="D279" s="270">
        <v>8.36</v>
      </c>
      <c r="E279" s="185"/>
      <c r="G279" s="272">
        <v>16732.680939999998</v>
      </c>
      <c r="H279" s="272">
        <v>66226.275340000007</v>
      </c>
      <c r="I279" s="272"/>
      <c r="J279" s="272">
        <v>35914.137569999999</v>
      </c>
      <c r="K279" s="272">
        <v>4420.3883699999997</v>
      </c>
      <c r="L279" s="272">
        <v>7228.0861999999997</v>
      </c>
      <c r="M279" s="272">
        <v>47562.612139999997</v>
      </c>
      <c r="N279" s="272">
        <v>7495.7089999999998</v>
      </c>
      <c r="O279" s="272">
        <v>1139.29556</v>
      </c>
      <c r="P279" s="272">
        <v>1693.8311899999999</v>
      </c>
      <c r="Q279" s="272">
        <v>2471.8668199999997</v>
      </c>
      <c r="R279" s="272">
        <v>45.73516</v>
      </c>
      <c r="S279" s="272">
        <v>8310.9178200000006</v>
      </c>
      <c r="U279" s="272">
        <v>7632.3066100000005</v>
      </c>
      <c r="V279" s="272">
        <v>0</v>
      </c>
      <c r="W279" s="272">
        <v>0</v>
      </c>
      <c r="X279" s="272">
        <v>678.61120999999991</v>
      </c>
      <c r="Y279" s="272">
        <v>0</v>
      </c>
      <c r="Z279" s="272">
        <v>650</v>
      </c>
      <c r="AA279" s="272">
        <v>0</v>
      </c>
      <c r="AB279" s="272">
        <v>28.61121</v>
      </c>
      <c r="AD279" s="272">
        <v>16856.93131</v>
      </c>
      <c r="AE279" s="157">
        <v>11417.505740000001</v>
      </c>
      <c r="AF279" s="184">
        <v>3106.5879199999999</v>
      </c>
      <c r="AG279" s="272">
        <v>-10123.034119999998</v>
      </c>
      <c r="AH279" s="272">
        <v>227.4</v>
      </c>
      <c r="AI279" s="184">
        <v>240.52401</v>
      </c>
      <c r="AJ279" s="272">
        <v>4820.8117199999997</v>
      </c>
      <c r="AL279" s="272">
        <v>108713.6321</v>
      </c>
      <c r="AM279" s="184">
        <v>2437.3457400000002</v>
      </c>
      <c r="AN279" s="272">
        <v>-6141.9155799999999</v>
      </c>
      <c r="AO279" s="343">
        <v>19669</v>
      </c>
      <c r="AP279" s="332">
        <v>8.8000000000000007</v>
      </c>
      <c r="AQ279" s="448"/>
      <c r="AS279" s="455">
        <v>16769.239970000002</v>
      </c>
      <c r="AT279" s="272">
        <v>62377.944000000003</v>
      </c>
      <c r="AU279" s="450"/>
      <c r="AV279" s="334">
        <v>37491.091590000004</v>
      </c>
      <c r="AW279" s="334">
        <v>3673.44758</v>
      </c>
      <c r="AX279" s="334">
        <v>7416.0547200000001</v>
      </c>
      <c r="AY279" s="334">
        <v>48580.593890000004</v>
      </c>
      <c r="AZ279" s="334">
        <v>3720.2759999999998</v>
      </c>
      <c r="BA279" s="272">
        <v>1340.0849900000001</v>
      </c>
      <c r="BB279" s="333">
        <v>2142.5488100000002</v>
      </c>
      <c r="BC279" s="272">
        <v>1338.86365</v>
      </c>
      <c r="BD279" s="272">
        <v>29.076310000000003</v>
      </c>
      <c r="BE279" s="334">
        <v>7789.5293000000001</v>
      </c>
      <c r="BG279" s="331">
        <v>7496.9438499999997</v>
      </c>
      <c r="BH279" s="331">
        <v>0</v>
      </c>
      <c r="BI279" s="331">
        <v>0</v>
      </c>
      <c r="BJ279" s="334">
        <v>292.58545000000004</v>
      </c>
      <c r="BK279" s="331">
        <v>0</v>
      </c>
      <c r="BL279" s="334">
        <v>0</v>
      </c>
      <c r="BM279" s="331">
        <v>0</v>
      </c>
      <c r="BN279" s="334">
        <v>292.58545000000004</v>
      </c>
      <c r="BP279" s="334">
        <v>17149.516759999999</v>
      </c>
      <c r="BQ279" s="311">
        <v>7254.8069500000001</v>
      </c>
      <c r="BR279" s="272">
        <v>-534.72235000000001</v>
      </c>
      <c r="BS279" s="461">
        <v>-6707.7364900000002</v>
      </c>
      <c r="BT279" s="272">
        <v>133.42599999999999</v>
      </c>
      <c r="BU279" s="272">
        <v>119.3265</v>
      </c>
      <c r="BV279" s="333">
        <v>4124.3676400000004</v>
      </c>
      <c r="BX279" s="272">
        <v>110189.77206</v>
      </c>
      <c r="BY279" s="469">
        <v>-5130.6232900000005</v>
      </c>
      <c r="BZ279" s="469">
        <v>1476.13996</v>
      </c>
      <c r="CA279" s="552"/>
      <c r="CB279" s="335">
        <v>9.3000000000000007</v>
      </c>
      <c r="CC279" s="471">
        <f t="shared" si="4"/>
        <v>9.3000000000000007</v>
      </c>
      <c r="CD279" s="558"/>
      <c r="CE279" s="272"/>
      <c r="CF279" s="262"/>
      <c r="CI279" s="158">
        <v>0</v>
      </c>
      <c r="CJ279" s="331">
        <v>6942.8790387826693</v>
      </c>
      <c r="CK279" s="331">
        <v>7075.2878624293107</v>
      </c>
      <c r="CL279" s="331">
        <v>6544.6279810720653</v>
      </c>
      <c r="CM279" s="472">
        <v>7052.9421060397844</v>
      </c>
      <c r="CN279" s="472">
        <v>7694.2458366179681</v>
      </c>
      <c r="CO279" s="480">
        <v>-1369.7460000000001</v>
      </c>
      <c r="CP279" s="557"/>
      <c r="CQ279" s="474">
        <v>874.59505000000001</v>
      </c>
      <c r="CR279" s="474">
        <v>590.03992000000005</v>
      </c>
    </row>
    <row r="280" spans="1:96" x14ac:dyDescent="0.2">
      <c r="A280" s="154">
        <v>918</v>
      </c>
      <c r="B280" s="156" t="s">
        <v>302</v>
      </c>
      <c r="C280" s="325">
        <v>2245</v>
      </c>
      <c r="D280" s="270">
        <v>9.61</v>
      </c>
      <c r="E280" s="185"/>
      <c r="G280" s="272">
        <v>12269.603060000001</v>
      </c>
      <c r="H280" s="272">
        <v>16671.836910000002</v>
      </c>
      <c r="I280" s="272"/>
      <c r="J280" s="272">
        <v>3952.6444700000002</v>
      </c>
      <c r="K280" s="272">
        <v>455.03757999999999</v>
      </c>
      <c r="L280" s="272">
        <v>924.41503</v>
      </c>
      <c r="M280" s="272">
        <v>5332.0970800000005</v>
      </c>
      <c r="N280" s="272">
        <v>1020.932</v>
      </c>
      <c r="O280" s="272">
        <v>82.080669999999998</v>
      </c>
      <c r="P280" s="272">
        <v>443.68356</v>
      </c>
      <c r="Q280" s="272">
        <v>60.369949999999996</v>
      </c>
      <c r="R280" s="272">
        <v>9.9399999999999992E-3</v>
      </c>
      <c r="S280" s="272">
        <v>1649.5523500000002</v>
      </c>
      <c r="U280" s="272">
        <v>956.34751000000006</v>
      </c>
      <c r="V280" s="272">
        <v>0</v>
      </c>
      <c r="W280" s="272">
        <v>0</v>
      </c>
      <c r="X280" s="272">
        <v>693.20483999999999</v>
      </c>
      <c r="Y280" s="272">
        <v>0</v>
      </c>
      <c r="Z280" s="272">
        <v>0</v>
      </c>
      <c r="AA280" s="272">
        <v>0</v>
      </c>
      <c r="AB280" s="272">
        <v>693.20483999999999</v>
      </c>
      <c r="AD280" s="272">
        <v>2271.53773</v>
      </c>
      <c r="AE280" s="157">
        <v>1649.5523500000002</v>
      </c>
      <c r="AF280" s="184">
        <v>0</v>
      </c>
      <c r="AG280" s="272">
        <v>-17.098800000000001</v>
      </c>
      <c r="AH280" s="272">
        <v>0</v>
      </c>
      <c r="AI280" s="184">
        <v>0</v>
      </c>
      <c r="AJ280" s="272">
        <v>2170.6134700000002</v>
      </c>
      <c r="AL280" s="272">
        <v>11552.857</v>
      </c>
      <c r="AM280" s="184">
        <v>84.254999999999995</v>
      </c>
      <c r="AN280" s="272">
        <v>-2977.1280000000002</v>
      </c>
      <c r="AO280" s="343">
        <v>2246</v>
      </c>
      <c r="AP280" s="332">
        <v>9.5</v>
      </c>
      <c r="AQ280" s="448"/>
      <c r="AS280" s="455">
        <v>12767.059240000001</v>
      </c>
      <c r="AT280" s="272">
        <v>17609.249680000001</v>
      </c>
      <c r="AU280" s="450"/>
      <c r="AV280" s="334">
        <v>3988.5940699999996</v>
      </c>
      <c r="AW280" s="334">
        <v>303.13990999999999</v>
      </c>
      <c r="AX280" s="334">
        <v>959.56431000000009</v>
      </c>
      <c r="AY280" s="334">
        <v>5251.2982899999997</v>
      </c>
      <c r="AZ280" s="334">
        <v>1193.2750000000001</v>
      </c>
      <c r="BA280" s="272">
        <v>57.284480000000002</v>
      </c>
      <c r="BB280" s="333">
        <v>365.85796999999997</v>
      </c>
      <c r="BC280" s="272">
        <v>71.603070000000002</v>
      </c>
      <c r="BD280" s="272">
        <v>0.16931000000000002</v>
      </c>
      <c r="BE280" s="334">
        <v>1365.2431200000001</v>
      </c>
      <c r="BG280" s="331">
        <v>718.30511999999999</v>
      </c>
      <c r="BH280" s="334">
        <v>0</v>
      </c>
      <c r="BI280" s="334">
        <v>0</v>
      </c>
      <c r="BJ280" s="334">
        <v>646.93799999999999</v>
      </c>
      <c r="BK280" s="331">
        <v>0</v>
      </c>
      <c r="BL280" s="334">
        <v>0</v>
      </c>
      <c r="BM280" s="331">
        <v>0</v>
      </c>
      <c r="BN280" s="334">
        <v>646.93799999999999</v>
      </c>
      <c r="BP280" s="334">
        <v>2918.4757300000001</v>
      </c>
      <c r="BQ280" s="311">
        <v>1361.8589099999999</v>
      </c>
      <c r="BR280" s="272">
        <v>-3.3842099999999999</v>
      </c>
      <c r="BS280" s="461">
        <v>-415.2946</v>
      </c>
      <c r="BT280" s="272">
        <v>0</v>
      </c>
      <c r="BU280" s="272">
        <v>4</v>
      </c>
      <c r="BV280" s="333">
        <v>2197.7165099999997</v>
      </c>
      <c r="BX280" s="272">
        <v>11105.728999999999</v>
      </c>
      <c r="BY280" s="469">
        <v>-235.745</v>
      </c>
      <c r="BZ280" s="469">
        <v>-447.12799999999999</v>
      </c>
      <c r="CA280" s="552"/>
      <c r="CB280" s="335">
        <v>9.5</v>
      </c>
      <c r="CC280" s="471">
        <f t="shared" si="4"/>
        <v>9.5</v>
      </c>
      <c r="CD280" s="558"/>
      <c r="CE280" s="272"/>
      <c r="CF280" s="262"/>
      <c r="CI280" s="158">
        <v>0</v>
      </c>
      <c r="CJ280" s="331">
        <v>1319.7049955257814</v>
      </c>
      <c r="CK280" s="331">
        <v>1587.3704473754904</v>
      </c>
      <c r="CL280" s="331">
        <v>1704.965314315353</v>
      </c>
      <c r="CM280" s="472">
        <v>1912.8022946126109</v>
      </c>
      <c r="CN280" s="472">
        <v>2080.0007203312125</v>
      </c>
      <c r="CO280" s="480">
        <v>-529.62599999999998</v>
      </c>
      <c r="CP280" s="557"/>
      <c r="CQ280" s="474">
        <v>0</v>
      </c>
      <c r="CR280" s="474">
        <v>0</v>
      </c>
    </row>
    <row r="281" spans="1:96" x14ac:dyDescent="0.2">
      <c r="A281" s="154">
        <v>921</v>
      </c>
      <c r="B281" s="156" t="s">
        <v>303</v>
      </c>
      <c r="C281" s="325">
        <v>1895</v>
      </c>
      <c r="D281" s="270">
        <v>9.11</v>
      </c>
      <c r="E281" s="185"/>
      <c r="G281" s="272">
        <v>2778.8406400000003</v>
      </c>
      <c r="H281" s="272">
        <v>8832.6453000000001</v>
      </c>
      <c r="I281" s="272"/>
      <c r="J281" s="272">
        <v>2703.88031</v>
      </c>
      <c r="K281" s="272">
        <v>524.37968999999998</v>
      </c>
      <c r="L281" s="272">
        <v>796.92403999999999</v>
      </c>
      <c r="M281" s="272">
        <v>4025.1840400000001</v>
      </c>
      <c r="N281" s="272">
        <v>2774.2629999999999</v>
      </c>
      <c r="O281" s="272">
        <v>50.335970000000003</v>
      </c>
      <c r="P281" s="272">
        <v>205.61189000000002</v>
      </c>
      <c r="Q281" s="272">
        <v>354.09566999999998</v>
      </c>
      <c r="R281" s="272">
        <v>2.3624999999999998</v>
      </c>
      <c r="S281" s="272">
        <v>942.09963000000005</v>
      </c>
      <c r="U281" s="272">
        <v>912.34821999999997</v>
      </c>
      <c r="V281" s="272">
        <v>0</v>
      </c>
      <c r="W281" s="272">
        <v>0</v>
      </c>
      <c r="X281" s="272">
        <v>29.75141</v>
      </c>
      <c r="Y281" s="272">
        <v>0</v>
      </c>
      <c r="Z281" s="272">
        <v>0</v>
      </c>
      <c r="AA281" s="272">
        <v>0</v>
      </c>
      <c r="AB281" s="272">
        <v>29.75141</v>
      </c>
      <c r="AD281" s="272">
        <v>1739.4106800000002</v>
      </c>
      <c r="AE281" s="157">
        <v>1195.6244099999999</v>
      </c>
      <c r="AF281" s="184">
        <v>402.87774000000002</v>
      </c>
      <c r="AG281" s="272">
        <v>-280.04798</v>
      </c>
      <c r="AH281" s="272">
        <v>-1.0860000000000001</v>
      </c>
      <c r="AI281" s="184">
        <v>2.1</v>
      </c>
      <c r="AJ281" s="272">
        <v>2476.7263599999997</v>
      </c>
      <c r="AL281" s="272">
        <v>6722.3270000000002</v>
      </c>
      <c r="AM281" s="184">
        <v>0</v>
      </c>
      <c r="AN281" s="272">
        <v>-652.31399999999996</v>
      </c>
      <c r="AO281" s="343">
        <v>1851</v>
      </c>
      <c r="AP281" s="332">
        <v>9.2000000000000011</v>
      </c>
      <c r="AQ281" s="448"/>
      <c r="AS281" s="455">
        <v>2853.0641800000003</v>
      </c>
      <c r="AT281" s="272">
        <v>8348.8223799999996</v>
      </c>
      <c r="AU281" s="450"/>
      <c r="AV281" s="334">
        <v>2838.3923300000001</v>
      </c>
      <c r="AW281" s="334">
        <v>452.13918000000001</v>
      </c>
      <c r="AX281" s="334">
        <v>843.52882999999997</v>
      </c>
      <c r="AY281" s="334">
        <v>4134.06034</v>
      </c>
      <c r="AZ281" s="334">
        <v>2684.57</v>
      </c>
      <c r="BA281" s="272">
        <v>67.657380000000003</v>
      </c>
      <c r="BB281" s="333">
        <v>212.47641000000002</v>
      </c>
      <c r="BC281" s="272">
        <v>490.66206</v>
      </c>
      <c r="BD281" s="272">
        <v>1.7563299999999999</v>
      </c>
      <c r="BE281" s="334">
        <v>1666.95884</v>
      </c>
      <c r="BG281" s="331">
        <v>751.02319</v>
      </c>
      <c r="BH281" s="331">
        <v>0</v>
      </c>
      <c r="BI281" s="331">
        <v>131.13249999999999</v>
      </c>
      <c r="BJ281" s="334">
        <v>784.80315000000007</v>
      </c>
      <c r="BK281" s="331">
        <v>0</v>
      </c>
      <c r="BL281" s="331">
        <v>0</v>
      </c>
      <c r="BM281" s="331">
        <v>0</v>
      </c>
      <c r="BN281" s="334">
        <v>784.80315000000007</v>
      </c>
      <c r="BP281" s="334">
        <v>2524.2138300000001</v>
      </c>
      <c r="BQ281" s="311">
        <v>1468.9506299999998</v>
      </c>
      <c r="BR281" s="272">
        <v>-66.875710000000012</v>
      </c>
      <c r="BS281" s="461">
        <v>-179.42535000000001</v>
      </c>
      <c r="BT281" s="272">
        <v>0</v>
      </c>
      <c r="BU281" s="272">
        <v>176.30482999999998</v>
      </c>
      <c r="BV281" s="333">
        <v>3593.1751099999997</v>
      </c>
      <c r="BX281" s="272">
        <v>6070.0129999999999</v>
      </c>
      <c r="BY281" s="469">
        <v>12.5</v>
      </c>
      <c r="BZ281" s="469">
        <v>-652.31399999999996</v>
      </c>
      <c r="CA281" s="552"/>
      <c r="CB281" s="335">
        <v>9.5</v>
      </c>
      <c r="CC281" s="471">
        <f t="shared" si="4"/>
        <v>9.5</v>
      </c>
      <c r="CD281" s="558"/>
      <c r="CE281" s="272"/>
      <c r="CF281" s="262"/>
      <c r="CI281" s="158">
        <v>0</v>
      </c>
      <c r="CJ281" s="331">
        <v>2962.3298528612809</v>
      </c>
      <c r="CK281" s="331">
        <v>2975.0477300137695</v>
      </c>
      <c r="CL281" s="331">
        <v>2738.1026972157774</v>
      </c>
      <c r="CM281" s="472">
        <v>2920.8122235969822</v>
      </c>
      <c r="CN281" s="472">
        <v>2940.2463032959054</v>
      </c>
      <c r="CO281" s="480">
        <v>372.721</v>
      </c>
      <c r="CP281" s="557"/>
      <c r="CQ281" s="474">
        <v>0</v>
      </c>
      <c r="CR281" s="474">
        <v>0</v>
      </c>
    </row>
    <row r="282" spans="1:96" x14ac:dyDescent="0.2">
      <c r="A282" s="154">
        <v>922</v>
      </c>
      <c r="B282" s="156" t="s">
        <v>304</v>
      </c>
      <c r="C282" s="325">
        <v>4469</v>
      </c>
      <c r="D282" s="270">
        <v>9.36</v>
      </c>
      <c r="E282" s="185"/>
      <c r="G282" s="272">
        <v>2300.9714900000004</v>
      </c>
      <c r="H282" s="272">
        <v>15324.909109999999</v>
      </c>
      <c r="I282" s="272"/>
      <c r="J282" s="272">
        <v>10005.445169999999</v>
      </c>
      <c r="K282" s="272">
        <v>568.06067000000007</v>
      </c>
      <c r="L282" s="272">
        <v>1431.6971799999999</v>
      </c>
      <c r="M282" s="272">
        <v>12005.203019999999</v>
      </c>
      <c r="N282" s="272">
        <v>2964.8760000000002</v>
      </c>
      <c r="O282" s="272">
        <v>13.43317</v>
      </c>
      <c r="P282" s="272">
        <v>140.18539000000001</v>
      </c>
      <c r="Q282" s="272">
        <v>81.355860000000007</v>
      </c>
      <c r="R282" s="272">
        <v>-36.361760000000004</v>
      </c>
      <c r="S282" s="272">
        <v>1937.1068</v>
      </c>
      <c r="U282" s="272">
        <v>1389.00424</v>
      </c>
      <c r="V282" s="272">
        <v>0</v>
      </c>
      <c r="W282" s="272">
        <v>0</v>
      </c>
      <c r="X282" s="272">
        <v>548.10256000000004</v>
      </c>
      <c r="Y282" s="272">
        <v>0</v>
      </c>
      <c r="Z282" s="272">
        <v>0</v>
      </c>
      <c r="AA282" s="272">
        <v>0</v>
      </c>
      <c r="AB282" s="272">
        <v>548.10256000000004</v>
      </c>
      <c r="AD282" s="272">
        <v>4671.9453800000001</v>
      </c>
      <c r="AE282" s="157">
        <v>1890.8158000000001</v>
      </c>
      <c r="AF282" s="184">
        <v>-46.290999999999997</v>
      </c>
      <c r="AG282" s="272">
        <v>-4395.7052000000003</v>
      </c>
      <c r="AH282" s="272">
        <v>0</v>
      </c>
      <c r="AI282" s="184">
        <v>40.853000000000002</v>
      </c>
      <c r="AJ282" s="272">
        <v>3115.38177</v>
      </c>
      <c r="AL282" s="272">
        <v>13273.335999999999</v>
      </c>
      <c r="AM282" s="184">
        <v>0</v>
      </c>
      <c r="AN282" s="272">
        <v>2363.3339999999998</v>
      </c>
      <c r="AO282" s="343">
        <v>4511</v>
      </c>
      <c r="AP282" s="332">
        <v>9.3000000000000007</v>
      </c>
      <c r="AQ282" s="448"/>
      <c r="AS282" s="455">
        <v>3013.0435299999999</v>
      </c>
      <c r="AT282" s="272">
        <v>15841.28032</v>
      </c>
      <c r="AU282" s="450"/>
      <c r="AV282" s="334">
        <v>9807.1032799999994</v>
      </c>
      <c r="AW282" s="334">
        <v>472.32640999999995</v>
      </c>
      <c r="AX282" s="334">
        <v>1489.7760800000001</v>
      </c>
      <c r="AY282" s="334">
        <v>11769.205769999999</v>
      </c>
      <c r="AZ282" s="334">
        <v>2979.3303300000002</v>
      </c>
      <c r="BA282" s="272">
        <v>13.4595</v>
      </c>
      <c r="BB282" s="333">
        <v>299.39031</v>
      </c>
      <c r="BC282" s="272">
        <v>117.8775</v>
      </c>
      <c r="BD282" s="272">
        <v>7.1711299999999998</v>
      </c>
      <c r="BE282" s="334">
        <v>1771.7348200000001</v>
      </c>
      <c r="BG282" s="331">
        <v>1671.2451299999998</v>
      </c>
      <c r="BH282" s="331">
        <v>0</v>
      </c>
      <c r="BI282" s="331">
        <v>0</v>
      </c>
      <c r="BJ282" s="334">
        <v>100.48969</v>
      </c>
      <c r="BK282" s="334">
        <v>0</v>
      </c>
      <c r="BL282" s="334">
        <v>0</v>
      </c>
      <c r="BM282" s="331">
        <v>0</v>
      </c>
      <c r="BN282" s="334">
        <v>100.48969</v>
      </c>
      <c r="BP282" s="334">
        <v>4772.4350700000005</v>
      </c>
      <c r="BQ282" s="311">
        <v>1488.2024199999998</v>
      </c>
      <c r="BR282" s="272">
        <v>-283.56425000000002</v>
      </c>
      <c r="BS282" s="461">
        <v>-4191.9789600000004</v>
      </c>
      <c r="BT282" s="272">
        <v>0</v>
      </c>
      <c r="BU282" s="272">
        <v>389.25155999999998</v>
      </c>
      <c r="BV282" s="333">
        <v>1657.9037599999999</v>
      </c>
      <c r="BX282" s="272">
        <v>14936.67</v>
      </c>
      <c r="BY282" s="469">
        <v>0</v>
      </c>
      <c r="BZ282" s="469">
        <v>1663.3340000000001</v>
      </c>
      <c r="CA282" s="552"/>
      <c r="CB282" s="335">
        <v>9.3000000000000007</v>
      </c>
      <c r="CC282" s="471">
        <f t="shared" si="4"/>
        <v>9.3000000000000007</v>
      </c>
      <c r="CD282" s="558"/>
      <c r="CE282" s="272"/>
      <c r="CF282" s="262"/>
      <c r="CI282" s="158">
        <v>0</v>
      </c>
      <c r="CJ282" s="331">
        <v>3368.2134636117189</v>
      </c>
      <c r="CK282" s="331">
        <v>3487.2653929696216</v>
      </c>
      <c r="CL282" s="331">
        <v>3099.3853791278525</v>
      </c>
      <c r="CM282" s="472">
        <v>3273.0419596582769</v>
      </c>
      <c r="CN282" s="472">
        <v>3191.2798527083305</v>
      </c>
      <c r="CO282" s="480">
        <v>-1065.845</v>
      </c>
      <c r="CP282" s="557"/>
      <c r="CQ282" s="474">
        <v>0</v>
      </c>
      <c r="CR282" s="474">
        <v>26.659950000000002</v>
      </c>
    </row>
    <row r="283" spans="1:96" x14ac:dyDescent="0.2">
      <c r="A283" s="154">
        <v>924</v>
      </c>
      <c r="B283" s="156" t="s">
        <v>305</v>
      </c>
      <c r="C283" s="325">
        <v>2936</v>
      </c>
      <c r="D283" s="270">
        <v>9.86</v>
      </c>
      <c r="E283" s="185"/>
      <c r="G283" s="272">
        <v>2462.0009399999999</v>
      </c>
      <c r="H283" s="272">
        <v>10979.841410000001</v>
      </c>
      <c r="I283" s="272"/>
      <c r="J283" s="272">
        <v>4754.2635700000001</v>
      </c>
      <c r="K283" s="272">
        <v>660.59379000000001</v>
      </c>
      <c r="L283" s="272">
        <v>783.43691000000001</v>
      </c>
      <c r="M283" s="272">
        <v>6198.2942699999994</v>
      </c>
      <c r="N283" s="272">
        <v>3232.1738599999999</v>
      </c>
      <c r="O283" s="272">
        <v>82.826880000000003</v>
      </c>
      <c r="P283" s="272">
        <v>417.06403999999998</v>
      </c>
      <c r="Q283" s="272">
        <v>83.467749999999995</v>
      </c>
      <c r="R283" s="272">
        <v>0.15418999999999999</v>
      </c>
      <c r="S283" s="272">
        <v>661.70406000000003</v>
      </c>
      <c r="U283" s="272">
        <v>966.39442000000008</v>
      </c>
      <c r="V283" s="272">
        <v>0</v>
      </c>
      <c r="W283" s="272">
        <v>0</v>
      </c>
      <c r="X283" s="272">
        <v>-304.69036</v>
      </c>
      <c r="Y283" s="272">
        <v>-51.735599999999998</v>
      </c>
      <c r="Z283" s="272">
        <v>0</v>
      </c>
      <c r="AA283" s="272">
        <v>0</v>
      </c>
      <c r="AB283" s="272">
        <v>-252.95476000000002</v>
      </c>
      <c r="AD283" s="272">
        <v>3843.64014</v>
      </c>
      <c r="AE283" s="157">
        <v>621.53863000000001</v>
      </c>
      <c r="AF283" s="184">
        <v>-40.165430000000001</v>
      </c>
      <c r="AG283" s="272">
        <v>-1984.6774399999999</v>
      </c>
      <c r="AH283" s="272">
        <v>10.485100000000001</v>
      </c>
      <c r="AI283" s="184">
        <v>0.3</v>
      </c>
      <c r="AJ283" s="272">
        <v>409.58583000000004</v>
      </c>
      <c r="AL283" s="272">
        <v>13422.826000000001</v>
      </c>
      <c r="AM283" s="184">
        <v>0</v>
      </c>
      <c r="AN283" s="272">
        <v>-982.58</v>
      </c>
      <c r="AO283" s="343">
        <v>2931</v>
      </c>
      <c r="AP283" s="332">
        <v>9.8000000000000007</v>
      </c>
      <c r="AQ283" s="448"/>
      <c r="AS283" s="455">
        <v>2961.5903399999997</v>
      </c>
      <c r="AT283" s="272">
        <v>10923.79752</v>
      </c>
      <c r="AU283" s="450"/>
      <c r="AV283" s="334">
        <v>5069.5789699999996</v>
      </c>
      <c r="AW283" s="334">
        <v>566.57887000000005</v>
      </c>
      <c r="AX283" s="334">
        <v>861.62523999999996</v>
      </c>
      <c r="AY283" s="334">
        <v>6497.7830800000002</v>
      </c>
      <c r="AZ283" s="334">
        <v>3473.451</v>
      </c>
      <c r="BA283" s="272">
        <v>112.3389</v>
      </c>
      <c r="BB283" s="333">
        <v>509.70721000000003</v>
      </c>
      <c r="BC283" s="272">
        <v>140.58449999999999</v>
      </c>
      <c r="BD283" s="272">
        <v>0.27349000000000001</v>
      </c>
      <c r="BE283" s="334">
        <v>1751.9696000000001</v>
      </c>
      <c r="BG283" s="331">
        <v>1117.0110500000001</v>
      </c>
      <c r="BH283" s="334">
        <v>0</v>
      </c>
      <c r="BI283" s="331">
        <v>0</v>
      </c>
      <c r="BJ283" s="334">
        <v>634.95855000000006</v>
      </c>
      <c r="BK283" s="331">
        <v>-28.210229999999999</v>
      </c>
      <c r="BL283" s="331">
        <v>0</v>
      </c>
      <c r="BM283" s="331">
        <v>0</v>
      </c>
      <c r="BN283" s="334">
        <v>663.16878000000008</v>
      </c>
      <c r="BP283" s="334">
        <v>4506.8089199999995</v>
      </c>
      <c r="BQ283" s="311">
        <v>1386.5573999999999</v>
      </c>
      <c r="BR283" s="272">
        <v>-365.41219999999998</v>
      </c>
      <c r="BS283" s="461">
        <v>-2492.9805200000001</v>
      </c>
      <c r="BT283" s="272">
        <v>83.341139999999996</v>
      </c>
      <c r="BU283" s="272">
        <v>619.94101999999998</v>
      </c>
      <c r="BV283" s="333">
        <v>983.11168999999995</v>
      </c>
      <c r="BX283" s="272">
        <v>16107.245999999999</v>
      </c>
      <c r="BY283" s="469">
        <v>47.019980000000004</v>
      </c>
      <c r="BZ283" s="469">
        <v>2684.42</v>
      </c>
      <c r="CA283" s="552"/>
      <c r="CB283" s="335">
        <v>9.8000000000000007</v>
      </c>
      <c r="CC283" s="471">
        <f t="shared" si="4"/>
        <v>9.8000000000000007</v>
      </c>
      <c r="CD283" s="558"/>
      <c r="CE283" s="272"/>
      <c r="CF283" s="262"/>
      <c r="CI283" s="158">
        <v>500</v>
      </c>
      <c r="CJ283" s="331">
        <v>3854.873397463165</v>
      </c>
      <c r="CK283" s="331">
        <v>3781.7545770374118</v>
      </c>
      <c r="CL283" s="331">
        <v>3884.0191241316929</v>
      </c>
      <c r="CM283" s="472">
        <v>4037.2233897845185</v>
      </c>
      <c r="CN283" s="472">
        <v>4155.1180929435659</v>
      </c>
      <c r="CO283" s="480">
        <v>322.69600000000003</v>
      </c>
      <c r="CP283" s="557"/>
      <c r="CQ283" s="474">
        <v>0</v>
      </c>
      <c r="CR283" s="474">
        <v>0</v>
      </c>
    </row>
    <row r="284" spans="1:96" x14ac:dyDescent="0.2">
      <c r="A284" s="154">
        <v>925</v>
      </c>
      <c r="B284" s="156" t="s">
        <v>306</v>
      </c>
      <c r="C284" s="325">
        <v>3387</v>
      </c>
      <c r="D284" s="270">
        <v>8.3599999999999977</v>
      </c>
      <c r="E284" s="185"/>
      <c r="G284" s="272">
        <v>1818.6125900000002</v>
      </c>
      <c r="H284" s="272">
        <v>12358.745999999999</v>
      </c>
      <c r="I284" s="272"/>
      <c r="J284" s="272">
        <v>5320.3973099999994</v>
      </c>
      <c r="K284" s="272">
        <v>2727.3009700000002</v>
      </c>
      <c r="L284" s="272">
        <v>1085.6854599999999</v>
      </c>
      <c r="M284" s="272">
        <v>9133.3837400000011</v>
      </c>
      <c r="N284" s="272">
        <v>4131.7929999999997</v>
      </c>
      <c r="O284" s="272">
        <v>6.0818900000000005</v>
      </c>
      <c r="P284" s="272">
        <v>144.18514000000002</v>
      </c>
      <c r="Q284" s="272">
        <v>549.29385000000002</v>
      </c>
      <c r="R284" s="272">
        <v>14.010249999999999</v>
      </c>
      <c r="S284" s="272">
        <v>3122.2236800000001</v>
      </c>
      <c r="U284" s="272">
        <v>1107.5050900000001</v>
      </c>
      <c r="V284" s="272">
        <v>0</v>
      </c>
      <c r="W284" s="272">
        <v>0</v>
      </c>
      <c r="X284" s="272">
        <v>2014.7185900000002</v>
      </c>
      <c r="Y284" s="272">
        <v>-180.64850000000001</v>
      </c>
      <c r="Z284" s="272">
        <v>950</v>
      </c>
      <c r="AA284" s="272">
        <v>0</v>
      </c>
      <c r="AB284" s="272">
        <v>1245.3670900000002</v>
      </c>
      <c r="AD284" s="272">
        <v>12248.011209999999</v>
      </c>
      <c r="AE284" s="157">
        <v>3501.65362</v>
      </c>
      <c r="AF284" s="184">
        <v>379.42993999999999</v>
      </c>
      <c r="AG284" s="272">
        <v>-2046.07195</v>
      </c>
      <c r="AH284" s="272">
        <v>355</v>
      </c>
      <c r="AI284" s="184">
        <v>2043.0787700000001</v>
      </c>
      <c r="AJ284" s="272">
        <v>18654.576519999999</v>
      </c>
      <c r="AL284" s="272">
        <v>5475.0195599999997</v>
      </c>
      <c r="AM284" s="184">
        <v>57</v>
      </c>
      <c r="AN284" s="272">
        <v>-462.5</v>
      </c>
      <c r="AO284" s="343">
        <v>3352</v>
      </c>
      <c r="AP284" s="332">
        <v>8.4</v>
      </c>
      <c r="AQ284" s="448"/>
      <c r="AS284" s="455">
        <v>1801.1830400000001</v>
      </c>
      <c r="AT284" s="272">
        <v>12031.8995</v>
      </c>
      <c r="AU284" s="450"/>
      <c r="AV284" s="334">
        <v>5394.8595800000003</v>
      </c>
      <c r="AW284" s="334">
        <v>2346.2432799999997</v>
      </c>
      <c r="AX284" s="334">
        <v>1188.22415</v>
      </c>
      <c r="AY284" s="334">
        <v>8929.3270099999991</v>
      </c>
      <c r="AZ284" s="334">
        <v>3940.2629999999999</v>
      </c>
      <c r="BA284" s="272">
        <v>442.31498999999997</v>
      </c>
      <c r="BB284" s="333">
        <v>142.00892999999999</v>
      </c>
      <c r="BC284" s="272">
        <v>729.27490999999998</v>
      </c>
      <c r="BD284" s="272">
        <v>16.65943</v>
      </c>
      <c r="BE284" s="334">
        <v>3651.7950900000001</v>
      </c>
      <c r="BG284" s="331">
        <v>1220.1429599999999</v>
      </c>
      <c r="BH284" s="331">
        <v>0</v>
      </c>
      <c r="BI284" s="331">
        <v>0</v>
      </c>
      <c r="BJ284" s="334">
        <v>2431.6521299999999</v>
      </c>
      <c r="BK284" s="334">
        <v>303.29536999999999</v>
      </c>
      <c r="BL284" s="334">
        <v>150</v>
      </c>
      <c r="BM284" s="331">
        <v>511.14203999999995</v>
      </c>
      <c r="BN284" s="334">
        <v>1467.2147199999999</v>
      </c>
      <c r="BP284" s="334">
        <v>13715.225930000002</v>
      </c>
      <c r="BQ284" s="311">
        <v>3551.9462200000003</v>
      </c>
      <c r="BR284" s="272">
        <v>-99.848869999999991</v>
      </c>
      <c r="BS284" s="461">
        <v>-3200.5379500000004</v>
      </c>
      <c r="BT284" s="272">
        <v>563.80353000000002</v>
      </c>
      <c r="BU284" s="272">
        <v>0</v>
      </c>
      <c r="BV284" s="333">
        <v>19134.163980000001</v>
      </c>
      <c r="BX284" s="272">
        <v>4862.5195599999997</v>
      </c>
      <c r="BY284" s="469">
        <v>44.55</v>
      </c>
      <c r="BZ284" s="469">
        <v>-612.5</v>
      </c>
      <c r="CA284" s="552"/>
      <c r="CB284" s="335">
        <v>8.4</v>
      </c>
      <c r="CC284" s="471">
        <f t="shared" si="4"/>
        <v>8.4</v>
      </c>
      <c r="CD284" s="558"/>
      <c r="CE284" s="272"/>
      <c r="CF284" s="262"/>
      <c r="CI284" s="158">
        <v>0</v>
      </c>
      <c r="CJ284" s="331">
        <v>4310.7928800757345</v>
      </c>
      <c r="CK284" s="331">
        <v>4648.9593955826449</v>
      </c>
      <c r="CL284" s="331">
        <v>4658.6928700598864</v>
      </c>
      <c r="CM284" s="472">
        <v>4688.9794345933051</v>
      </c>
      <c r="CN284" s="472">
        <v>4530.7705116840434</v>
      </c>
      <c r="CO284" s="480">
        <v>46.127000000000002</v>
      </c>
      <c r="CP284" s="557"/>
      <c r="CQ284" s="474">
        <v>0</v>
      </c>
      <c r="CR284" s="474">
        <v>0</v>
      </c>
    </row>
    <row r="285" spans="1:96" x14ac:dyDescent="0.2">
      <c r="A285" s="154">
        <v>927</v>
      </c>
      <c r="B285" s="156" t="s">
        <v>307</v>
      </c>
      <c r="C285" s="325">
        <v>28811</v>
      </c>
      <c r="D285" s="270">
        <v>7.86</v>
      </c>
      <c r="E285" s="185"/>
      <c r="G285" s="272">
        <v>28855.434450000001</v>
      </c>
      <c r="H285" s="272">
        <v>86260.905310000002</v>
      </c>
      <c r="I285" s="272"/>
      <c r="J285" s="272">
        <v>62213.201300000001</v>
      </c>
      <c r="K285" s="272">
        <v>4016.8567400000002</v>
      </c>
      <c r="L285" s="272">
        <v>7822.5669400000006</v>
      </c>
      <c r="M285" s="272">
        <v>74052.624980000008</v>
      </c>
      <c r="N285" s="272">
        <v>20162.550999999999</v>
      </c>
      <c r="O285" s="272">
        <v>259.03008</v>
      </c>
      <c r="P285" s="272">
        <v>1318.64618</v>
      </c>
      <c r="Q285" s="272">
        <v>170.24543</v>
      </c>
      <c r="R285" s="272">
        <v>33.257580000000004</v>
      </c>
      <c r="S285" s="272">
        <v>36135.35183</v>
      </c>
      <c r="U285" s="272">
        <v>10141.802900000001</v>
      </c>
      <c r="V285" s="272">
        <v>0</v>
      </c>
      <c r="W285" s="272">
        <v>0</v>
      </c>
      <c r="X285" s="272">
        <v>25993.548930000001</v>
      </c>
      <c r="Y285" s="272">
        <v>-77.399820000000005</v>
      </c>
      <c r="Z285" s="272">
        <v>-140</v>
      </c>
      <c r="AA285" s="272">
        <v>10000</v>
      </c>
      <c r="AB285" s="272">
        <v>16210.94875</v>
      </c>
      <c r="AD285" s="272">
        <v>33103.340889999999</v>
      </c>
      <c r="AE285" s="157">
        <v>24276.933300000001</v>
      </c>
      <c r="AF285" s="184">
        <v>-11858.418529999999</v>
      </c>
      <c r="AG285" s="272">
        <v>-23305.341039999999</v>
      </c>
      <c r="AH285" s="272">
        <v>179.96947</v>
      </c>
      <c r="AI285" s="184">
        <v>19895.532239999997</v>
      </c>
      <c r="AJ285" s="272">
        <v>32299.684819999999</v>
      </c>
      <c r="AL285" s="272">
        <v>99956.701960000006</v>
      </c>
      <c r="AM285" s="184">
        <v>86.853750000000005</v>
      </c>
      <c r="AN285" s="272">
        <v>-12938.32934</v>
      </c>
      <c r="AO285" s="343">
        <v>28799</v>
      </c>
      <c r="AP285" s="332">
        <v>7.8</v>
      </c>
      <c r="AQ285" s="448"/>
      <c r="AS285" s="455">
        <v>18237.678660000001</v>
      </c>
      <c r="AT285" s="272">
        <v>90365.952529999995</v>
      </c>
      <c r="AU285" s="450"/>
      <c r="AV285" s="334">
        <v>57808.218479999996</v>
      </c>
      <c r="AW285" s="334">
        <v>3247.7222400000001</v>
      </c>
      <c r="AX285" s="334">
        <v>8779.8017500000005</v>
      </c>
      <c r="AY285" s="334">
        <v>69835.742469999997</v>
      </c>
      <c r="AZ285" s="334">
        <v>18068.737000000001</v>
      </c>
      <c r="BA285" s="272">
        <v>463.20438999999999</v>
      </c>
      <c r="BB285" s="333">
        <v>1310.5519399999998</v>
      </c>
      <c r="BC285" s="272">
        <v>227.96436</v>
      </c>
      <c r="BD285" s="272">
        <v>6.6966299999999999</v>
      </c>
      <c r="BE285" s="334">
        <v>15514.33108</v>
      </c>
      <c r="BG285" s="331">
        <v>10988.75999</v>
      </c>
      <c r="BH285" s="331">
        <v>0</v>
      </c>
      <c r="BI285" s="331">
        <v>0</v>
      </c>
      <c r="BJ285" s="334">
        <v>4525.5710899999995</v>
      </c>
      <c r="BK285" s="334">
        <v>2749.53206</v>
      </c>
      <c r="BL285" s="331">
        <v>-1675.1579999999999</v>
      </c>
      <c r="BM285" s="331">
        <v>0</v>
      </c>
      <c r="BN285" s="334">
        <v>3451.1970299999998</v>
      </c>
      <c r="BP285" s="334">
        <v>36554.537920000002</v>
      </c>
      <c r="BQ285" s="311">
        <v>15143.73583</v>
      </c>
      <c r="BR285" s="272">
        <v>-370.59525000000002</v>
      </c>
      <c r="BS285" s="461">
        <v>-28855.92137</v>
      </c>
      <c r="BT285" s="272">
        <v>410.5</v>
      </c>
      <c r="BU285" s="272">
        <v>439.29059000000001</v>
      </c>
      <c r="BV285" s="333">
        <v>12650.623370000001</v>
      </c>
      <c r="BX285" s="272">
        <v>97670.23765000001</v>
      </c>
      <c r="BY285" s="469">
        <v>88.711919999999992</v>
      </c>
      <c r="BZ285" s="469">
        <v>-2286.4643099999998</v>
      </c>
      <c r="CA285" s="552"/>
      <c r="CB285" s="335">
        <v>7.8</v>
      </c>
      <c r="CC285" s="471">
        <f t="shared" si="4"/>
        <v>7.8</v>
      </c>
      <c r="CD285" s="558"/>
      <c r="CE285" s="272"/>
      <c r="CF285" s="262"/>
      <c r="CI285" s="158">
        <v>0</v>
      </c>
      <c r="CJ285" s="331">
        <v>19566.642379104025</v>
      </c>
      <c r="CK285" s="331">
        <v>17637.900010237237</v>
      </c>
      <c r="CL285" s="331">
        <v>19600.403573516745</v>
      </c>
      <c r="CM285" s="472">
        <v>19811.588159797171</v>
      </c>
      <c r="CN285" s="472">
        <v>19724.725813326422</v>
      </c>
      <c r="CO285" s="480">
        <v>-2423.9450000000002</v>
      </c>
      <c r="CP285" s="557"/>
      <c r="CQ285" s="474">
        <v>248.27495999999999</v>
      </c>
      <c r="CR285" s="474">
        <v>364.20529999999997</v>
      </c>
    </row>
    <row r="286" spans="1:96" x14ac:dyDescent="0.2">
      <c r="A286" s="154">
        <v>931</v>
      </c>
      <c r="B286" s="156" t="s">
        <v>308</v>
      </c>
      <c r="C286" s="325">
        <v>5877</v>
      </c>
      <c r="D286" s="270">
        <v>8.36</v>
      </c>
      <c r="E286" s="185"/>
      <c r="G286" s="272">
        <v>8348.9619999999995</v>
      </c>
      <c r="H286" s="272">
        <v>24268.638050000001</v>
      </c>
      <c r="I286" s="272"/>
      <c r="J286" s="272">
        <v>8405.1610899999996</v>
      </c>
      <c r="K286" s="272">
        <v>2373.2633100000003</v>
      </c>
      <c r="L286" s="272">
        <v>2014.88931</v>
      </c>
      <c r="M286" s="272">
        <v>12793.31371</v>
      </c>
      <c r="N286" s="272">
        <v>9733.8410000000003</v>
      </c>
      <c r="O286" s="272">
        <v>125.57113000000001</v>
      </c>
      <c r="P286" s="272">
        <v>417.88473999999997</v>
      </c>
      <c r="Q286" s="272">
        <v>58.781129999999997</v>
      </c>
      <c r="R286" s="272">
        <v>65.518339999999995</v>
      </c>
      <c r="S286" s="272">
        <v>6308.4278400000003</v>
      </c>
      <c r="U286" s="272">
        <v>2819.27781</v>
      </c>
      <c r="V286" s="272">
        <v>44.765059999999998</v>
      </c>
      <c r="W286" s="272">
        <v>819.36656999999991</v>
      </c>
      <c r="X286" s="272">
        <v>2714.5485199999998</v>
      </c>
      <c r="Y286" s="272">
        <v>0</v>
      </c>
      <c r="Z286" s="272">
        <v>2713</v>
      </c>
      <c r="AA286" s="272">
        <v>0</v>
      </c>
      <c r="AB286" s="272">
        <v>1.5485199999999999</v>
      </c>
      <c r="AD286" s="272">
        <v>26340.872019999999</v>
      </c>
      <c r="AE286" s="157">
        <v>5367.9146500000006</v>
      </c>
      <c r="AF286" s="184">
        <v>-165.91167999999999</v>
      </c>
      <c r="AG286" s="272">
        <v>-2707.386</v>
      </c>
      <c r="AH286" s="272">
        <v>100</v>
      </c>
      <c r="AI286" s="184">
        <v>277.09649999999999</v>
      </c>
      <c r="AJ286" s="272">
        <v>12299.59598</v>
      </c>
      <c r="AL286" s="272">
        <v>10671.447529999999</v>
      </c>
      <c r="AM286" s="184">
        <v>0</v>
      </c>
      <c r="AN286" s="272">
        <v>-1616.6771899999999</v>
      </c>
      <c r="AO286" s="343">
        <v>5764</v>
      </c>
      <c r="AP286" s="332">
        <v>8.4</v>
      </c>
      <c r="AQ286" s="448"/>
      <c r="AS286" s="455">
        <v>7968.4194699999998</v>
      </c>
      <c r="AT286" s="272">
        <v>24681.286539999997</v>
      </c>
      <c r="AU286" s="450"/>
      <c r="AV286" s="334">
        <v>8966.7497700000004</v>
      </c>
      <c r="AW286" s="334">
        <v>2434.1823199999999</v>
      </c>
      <c r="AX286" s="334">
        <v>2102.6376600000003</v>
      </c>
      <c r="AY286" s="334">
        <v>13503.569750000001</v>
      </c>
      <c r="AZ286" s="334">
        <v>8029.1329999999998</v>
      </c>
      <c r="BA286" s="272">
        <v>118.1395</v>
      </c>
      <c r="BB286" s="333">
        <v>313.63601</v>
      </c>
      <c r="BC286" s="272">
        <v>111.11544000000001</v>
      </c>
      <c r="BD286" s="272">
        <v>5.6705500000000004</v>
      </c>
      <c r="BE286" s="334">
        <v>4729.78406</v>
      </c>
      <c r="BG286" s="331">
        <v>3579.00396</v>
      </c>
      <c r="BH286" s="331">
        <v>0</v>
      </c>
      <c r="BI286" s="331">
        <v>14</v>
      </c>
      <c r="BJ286" s="334">
        <v>1136.7801000000002</v>
      </c>
      <c r="BK286" s="331">
        <v>0</v>
      </c>
      <c r="BL286" s="331">
        <v>1130</v>
      </c>
      <c r="BM286" s="331">
        <v>0</v>
      </c>
      <c r="BN286" s="334">
        <v>6.7801</v>
      </c>
      <c r="BP286" s="334">
        <v>26347.652120000002</v>
      </c>
      <c r="BQ286" s="311">
        <v>4640.3327499999996</v>
      </c>
      <c r="BR286" s="272">
        <v>-75.451309999999992</v>
      </c>
      <c r="BS286" s="461">
        <v>-1851.4251499999998</v>
      </c>
      <c r="BT286" s="272">
        <v>579.98996</v>
      </c>
      <c r="BU286" s="272">
        <v>82.665000000000006</v>
      </c>
      <c r="BV286" s="333">
        <v>9935.7942500000008</v>
      </c>
      <c r="BX286" s="272">
        <v>5058.3887400000003</v>
      </c>
      <c r="BY286" s="469">
        <v>0</v>
      </c>
      <c r="BZ286" s="469">
        <v>-5613.05879</v>
      </c>
      <c r="CA286" s="552"/>
      <c r="CB286" s="335">
        <v>8.4</v>
      </c>
      <c r="CC286" s="471">
        <f t="shared" si="4"/>
        <v>8.4</v>
      </c>
      <c r="CD286" s="558"/>
      <c r="CE286" s="272"/>
      <c r="CF286" s="262"/>
      <c r="CI286" s="158">
        <v>0</v>
      </c>
      <c r="CJ286" s="331">
        <v>8332.9290006911706</v>
      </c>
      <c r="CK286" s="331">
        <v>7852.807936298037</v>
      </c>
      <c r="CL286" s="331">
        <v>7785.4167412529041</v>
      </c>
      <c r="CM286" s="472">
        <v>8169.1091968440087</v>
      </c>
      <c r="CN286" s="472">
        <v>8341.8406371662768</v>
      </c>
      <c r="CO286" s="480">
        <v>137.16399999999999</v>
      </c>
      <c r="CP286" s="557"/>
      <c r="CQ286" s="474">
        <v>0</v>
      </c>
      <c r="CR286" s="474">
        <v>0</v>
      </c>
    </row>
    <row r="287" spans="1:96" x14ac:dyDescent="0.2">
      <c r="A287" s="154">
        <v>934</v>
      </c>
      <c r="B287" s="156" t="s">
        <v>309</v>
      </c>
      <c r="C287" s="325">
        <v>2656</v>
      </c>
      <c r="D287" s="270">
        <v>9.61</v>
      </c>
      <c r="E287" s="185"/>
      <c r="G287" s="272">
        <v>3829.7129500000001</v>
      </c>
      <c r="H287" s="272">
        <v>10307.610349999999</v>
      </c>
      <c r="I287" s="272"/>
      <c r="J287" s="272">
        <v>4905.82672</v>
      </c>
      <c r="K287" s="272">
        <v>634.7658100000001</v>
      </c>
      <c r="L287" s="272">
        <v>842.90860999999995</v>
      </c>
      <c r="M287" s="272">
        <v>6383.5011399999994</v>
      </c>
      <c r="N287" s="272">
        <v>1786.605</v>
      </c>
      <c r="O287" s="272">
        <v>20.70036</v>
      </c>
      <c r="P287" s="272">
        <v>245.87773999999999</v>
      </c>
      <c r="Q287" s="272">
        <v>7.0895400000000004</v>
      </c>
      <c r="R287" s="272">
        <v>7.1826600000000003</v>
      </c>
      <c r="S287" s="272">
        <v>1466.93824</v>
      </c>
      <c r="U287" s="272">
        <v>1000.9636400000001</v>
      </c>
      <c r="V287" s="272">
        <v>0</v>
      </c>
      <c r="W287" s="272">
        <v>0</v>
      </c>
      <c r="X287" s="272">
        <v>465.97459999999995</v>
      </c>
      <c r="Y287" s="272">
        <v>0</v>
      </c>
      <c r="Z287" s="272">
        <v>0</v>
      </c>
      <c r="AA287" s="272">
        <v>0</v>
      </c>
      <c r="AB287" s="272">
        <v>465.97459999999995</v>
      </c>
      <c r="AD287" s="272">
        <v>2066.4285499999996</v>
      </c>
      <c r="AE287" s="157">
        <v>1446.2102</v>
      </c>
      <c r="AF287" s="184">
        <v>-20.728000000000002</v>
      </c>
      <c r="AG287" s="272">
        <v>-1938.4186000000002</v>
      </c>
      <c r="AH287" s="272">
        <v>70.623800000000003</v>
      </c>
      <c r="AI287" s="184">
        <v>507.37009999999998</v>
      </c>
      <c r="AJ287" s="272">
        <v>128.13897</v>
      </c>
      <c r="AL287" s="272">
        <v>10640.22</v>
      </c>
      <c r="AM287" s="184">
        <v>0</v>
      </c>
      <c r="AN287" s="272">
        <v>-777.87400000000002</v>
      </c>
      <c r="AO287" s="343">
        <v>2607</v>
      </c>
      <c r="AP287" s="332">
        <v>9.6</v>
      </c>
      <c r="AQ287" s="448"/>
      <c r="AS287" s="455">
        <v>3790.7592100000002</v>
      </c>
      <c r="AT287" s="272">
        <v>9858.9594399999987</v>
      </c>
      <c r="AU287" s="450"/>
      <c r="AV287" s="334">
        <v>4770.1235099999994</v>
      </c>
      <c r="AW287" s="334">
        <v>642.10626000000002</v>
      </c>
      <c r="AX287" s="334">
        <v>849.25512000000003</v>
      </c>
      <c r="AY287" s="334">
        <v>6261.4848899999997</v>
      </c>
      <c r="AZ287" s="334">
        <v>1416.1780000000001</v>
      </c>
      <c r="BA287" s="272">
        <v>43.206690000000002</v>
      </c>
      <c r="BB287" s="333">
        <v>385.64506</v>
      </c>
      <c r="BC287" s="272">
        <v>12.639950000000001</v>
      </c>
      <c r="BD287" s="272">
        <v>6.9100699999999993</v>
      </c>
      <c r="BE287" s="334">
        <v>1272.7541699999999</v>
      </c>
      <c r="BG287" s="331">
        <v>1008.49953</v>
      </c>
      <c r="BH287" s="331">
        <v>0</v>
      </c>
      <c r="BI287" s="334">
        <v>0</v>
      </c>
      <c r="BJ287" s="334">
        <v>264.25463999999999</v>
      </c>
      <c r="BK287" s="334">
        <v>0</v>
      </c>
      <c r="BL287" s="331">
        <v>0</v>
      </c>
      <c r="BM287" s="331">
        <v>0</v>
      </c>
      <c r="BN287" s="334">
        <v>264.25463999999999</v>
      </c>
      <c r="BP287" s="334">
        <v>2330.6831899999997</v>
      </c>
      <c r="BQ287" s="311">
        <v>1250.02621</v>
      </c>
      <c r="BR287" s="272">
        <v>-22.727959999999999</v>
      </c>
      <c r="BS287" s="461">
        <v>-2955.7327500000001</v>
      </c>
      <c r="BT287" s="272">
        <v>19.756</v>
      </c>
      <c r="BU287" s="272">
        <v>57.042629999999996</v>
      </c>
      <c r="BV287" s="333">
        <v>380.00007999999997</v>
      </c>
      <c r="BX287" s="272">
        <v>13254.846</v>
      </c>
      <c r="BY287" s="469">
        <v>0</v>
      </c>
      <c r="BZ287" s="469">
        <v>2614.6260000000002</v>
      </c>
      <c r="CA287" s="552"/>
      <c r="CB287" s="335">
        <v>9.6</v>
      </c>
      <c r="CC287" s="471">
        <f t="shared" si="4"/>
        <v>9.6</v>
      </c>
      <c r="CD287" s="558"/>
      <c r="CE287" s="272"/>
      <c r="CF287" s="262"/>
      <c r="CG287" s="260"/>
      <c r="CI287" s="158">
        <v>490</v>
      </c>
      <c r="CJ287" s="331">
        <v>1609.3833202557112</v>
      </c>
      <c r="CK287" s="331">
        <v>1455.183250530672</v>
      </c>
      <c r="CL287" s="331">
        <v>1504.5383496308273</v>
      </c>
      <c r="CM287" s="472">
        <v>1593.8441899513659</v>
      </c>
      <c r="CN287" s="472">
        <v>1536.6092708388383</v>
      </c>
      <c r="CO287" s="480">
        <v>-776.43499999999995</v>
      </c>
      <c r="CP287" s="557"/>
      <c r="CQ287" s="474">
        <v>0</v>
      </c>
      <c r="CR287" s="474">
        <v>0</v>
      </c>
    </row>
    <row r="288" spans="1:96" x14ac:dyDescent="0.2">
      <c r="A288" s="154">
        <v>935</v>
      </c>
      <c r="B288" s="156" t="s">
        <v>310</v>
      </c>
      <c r="C288" s="325">
        <v>2927</v>
      </c>
      <c r="D288" s="270">
        <v>8.86</v>
      </c>
      <c r="E288" s="185"/>
      <c r="G288" s="272">
        <v>7021.6576599999999</v>
      </c>
      <c r="H288" s="272">
        <v>16288.27212</v>
      </c>
      <c r="I288" s="272"/>
      <c r="J288" s="272">
        <v>4870.8005199999998</v>
      </c>
      <c r="K288" s="272">
        <v>713.12617</v>
      </c>
      <c r="L288" s="272">
        <v>1602.0064199999999</v>
      </c>
      <c r="M288" s="272">
        <v>7185.9331099999999</v>
      </c>
      <c r="N288" s="272">
        <v>2227.8470000000002</v>
      </c>
      <c r="O288" s="272">
        <v>89.99311999999999</v>
      </c>
      <c r="P288" s="272">
        <v>633.04683</v>
      </c>
      <c r="Q288" s="272">
        <v>107.14157</v>
      </c>
      <c r="R288" s="272">
        <v>3.3708</v>
      </c>
      <c r="S288" s="272">
        <v>-292.11728999999997</v>
      </c>
      <c r="U288" s="272">
        <v>1511.8759700000001</v>
      </c>
      <c r="V288" s="272">
        <v>0</v>
      </c>
      <c r="W288" s="272">
        <v>0</v>
      </c>
      <c r="X288" s="272">
        <v>-1803.99326</v>
      </c>
      <c r="Y288" s="272">
        <v>0</v>
      </c>
      <c r="Z288" s="272">
        <v>0</v>
      </c>
      <c r="AA288" s="272">
        <v>0</v>
      </c>
      <c r="AB288" s="272">
        <v>-1803.99326</v>
      </c>
      <c r="AD288" s="272">
        <v>3807.6258799999996</v>
      </c>
      <c r="AE288" s="157">
        <v>-297.03728999999998</v>
      </c>
      <c r="AF288" s="184">
        <v>-4.92</v>
      </c>
      <c r="AG288" s="272">
        <v>-262.49892</v>
      </c>
      <c r="AH288" s="272">
        <v>0</v>
      </c>
      <c r="AI288" s="184">
        <v>4.92</v>
      </c>
      <c r="AJ288" s="272">
        <v>869.44280000000003</v>
      </c>
      <c r="AL288" s="272">
        <v>23000</v>
      </c>
      <c r="AM288" s="184">
        <v>0</v>
      </c>
      <c r="AN288" s="272">
        <v>600</v>
      </c>
      <c r="AO288" s="343">
        <v>2831</v>
      </c>
      <c r="AP288" s="332">
        <v>9.9</v>
      </c>
      <c r="AQ288" s="448"/>
      <c r="AS288" s="455">
        <v>5874.39275</v>
      </c>
      <c r="AT288" s="272">
        <v>14681.123099999999</v>
      </c>
      <c r="AU288" s="450"/>
      <c r="AV288" s="334">
        <v>5375.6414599999998</v>
      </c>
      <c r="AW288" s="334">
        <v>705.14422000000002</v>
      </c>
      <c r="AX288" s="334">
        <v>1525.1734099999999</v>
      </c>
      <c r="AY288" s="334">
        <v>7605.9590900000003</v>
      </c>
      <c r="AZ288" s="334">
        <v>2561.3679999999999</v>
      </c>
      <c r="BA288" s="272">
        <v>73.109520000000003</v>
      </c>
      <c r="BB288" s="333">
        <v>816.83339000000001</v>
      </c>
      <c r="BC288" s="272">
        <v>312.77403999999996</v>
      </c>
      <c r="BD288" s="272">
        <v>4.3757099999999998</v>
      </c>
      <c r="BE288" s="334">
        <v>925.27119999999991</v>
      </c>
      <c r="BG288" s="331">
        <v>1505.1945700000001</v>
      </c>
      <c r="BH288" s="331">
        <v>0</v>
      </c>
      <c r="BI288" s="331">
        <v>0</v>
      </c>
      <c r="BJ288" s="334">
        <v>-579.92336999999998</v>
      </c>
      <c r="BK288" s="334">
        <v>0</v>
      </c>
      <c r="BL288" s="331">
        <v>0</v>
      </c>
      <c r="BM288" s="331">
        <v>0</v>
      </c>
      <c r="BN288" s="334">
        <v>-579.92336999999998</v>
      </c>
      <c r="BP288" s="334">
        <v>3227.7025099999996</v>
      </c>
      <c r="BQ288" s="311">
        <v>924.41120000000001</v>
      </c>
      <c r="BR288" s="272">
        <v>-0.86</v>
      </c>
      <c r="BS288" s="461">
        <v>-312.14890000000003</v>
      </c>
      <c r="BT288" s="272">
        <v>4.5</v>
      </c>
      <c r="BU288" s="272">
        <v>1.2</v>
      </c>
      <c r="BV288" s="333">
        <v>1512.4579699999999</v>
      </c>
      <c r="BX288" s="272">
        <v>23400</v>
      </c>
      <c r="BY288" s="469">
        <v>0</v>
      </c>
      <c r="BZ288" s="469">
        <v>400</v>
      </c>
      <c r="CA288" s="552"/>
      <c r="CB288" s="335">
        <v>9.9</v>
      </c>
      <c r="CC288" s="471">
        <f t="shared" si="4"/>
        <v>9.9</v>
      </c>
      <c r="CD288" s="558"/>
      <c r="CE288" s="272"/>
      <c r="CF288" s="262"/>
      <c r="CI288" s="158">
        <v>0</v>
      </c>
      <c r="CJ288" s="331">
        <v>2242.9220094023535</v>
      </c>
      <c r="CK288" s="331">
        <v>1848.640421514669</v>
      </c>
      <c r="CL288" s="331">
        <v>2063.0383003055235</v>
      </c>
      <c r="CM288" s="472">
        <v>2234.20420592972</v>
      </c>
      <c r="CN288" s="472">
        <v>2268.9306944380883</v>
      </c>
      <c r="CO288" s="480">
        <v>118.143</v>
      </c>
      <c r="CP288" s="557"/>
      <c r="CQ288" s="474">
        <v>0</v>
      </c>
      <c r="CR288" s="474">
        <v>0</v>
      </c>
    </row>
    <row r="289" spans="1:96" x14ac:dyDescent="0.2">
      <c r="A289" s="154">
        <v>936</v>
      </c>
      <c r="B289" s="156" t="s">
        <v>311</v>
      </c>
      <c r="C289" s="325">
        <v>6275</v>
      </c>
      <c r="D289" s="270">
        <v>8.61</v>
      </c>
      <c r="E289" s="185"/>
      <c r="G289" s="272">
        <v>10363.170749999999</v>
      </c>
      <c r="H289" s="272">
        <v>26590.71761</v>
      </c>
      <c r="I289" s="272"/>
      <c r="J289" s="272">
        <v>9913.602710000001</v>
      </c>
      <c r="K289" s="272">
        <v>2433.2619599999998</v>
      </c>
      <c r="L289" s="272">
        <v>2029.57222</v>
      </c>
      <c r="M289" s="272">
        <v>14376.436890000001</v>
      </c>
      <c r="N289" s="272">
        <v>7622.87</v>
      </c>
      <c r="O289" s="272">
        <v>27.219439999999999</v>
      </c>
      <c r="P289" s="272">
        <v>100.35167999999999</v>
      </c>
      <c r="Q289" s="272">
        <v>282.91530999999998</v>
      </c>
      <c r="R289" s="272">
        <v>0.41555000000000003</v>
      </c>
      <c r="S289" s="272">
        <v>6136.43289</v>
      </c>
      <c r="U289" s="272">
        <v>4224.9144800000004</v>
      </c>
      <c r="V289" s="272">
        <v>0</v>
      </c>
      <c r="W289" s="272">
        <v>0</v>
      </c>
      <c r="X289" s="272">
        <v>1911.5184099999999</v>
      </c>
      <c r="Y289" s="272">
        <v>-223.95724999999999</v>
      </c>
      <c r="Z289" s="272">
        <v>400</v>
      </c>
      <c r="AA289" s="272">
        <v>0</v>
      </c>
      <c r="AB289" s="272">
        <v>1735.4756599999998</v>
      </c>
      <c r="AD289" s="272">
        <v>23400.174620000002</v>
      </c>
      <c r="AE289" s="157">
        <v>6054.22091</v>
      </c>
      <c r="AF289" s="184">
        <v>-82.211979999999997</v>
      </c>
      <c r="AG289" s="272">
        <v>-3203.14804</v>
      </c>
      <c r="AH289" s="272">
        <v>214.72696999999999</v>
      </c>
      <c r="AI289" s="184">
        <v>84.596000000000004</v>
      </c>
      <c r="AJ289" s="272">
        <v>10357.120080000001</v>
      </c>
      <c r="AL289" s="272">
        <v>14601.10945</v>
      </c>
      <c r="AM289" s="184">
        <v>-2.95</v>
      </c>
      <c r="AN289" s="272">
        <v>-2873.9673599999996</v>
      </c>
      <c r="AO289" s="343">
        <v>6190</v>
      </c>
      <c r="AP289" s="332">
        <v>8.6</v>
      </c>
      <c r="AQ289" s="448"/>
      <c r="AS289" s="455">
        <v>10230.13831</v>
      </c>
      <c r="AT289" s="272">
        <v>26600.982199999999</v>
      </c>
      <c r="AU289" s="450"/>
      <c r="AV289" s="334">
        <v>9679.0853900000002</v>
      </c>
      <c r="AW289" s="334">
        <v>2031.2348</v>
      </c>
      <c r="AX289" s="334">
        <v>2283.6267599999996</v>
      </c>
      <c r="AY289" s="334">
        <v>13993.94695</v>
      </c>
      <c r="AZ289" s="334">
        <v>7322.4769999999999</v>
      </c>
      <c r="BA289" s="272">
        <v>28.236529999999998</v>
      </c>
      <c r="BB289" s="333">
        <v>95.68092</v>
      </c>
      <c r="BC289" s="272">
        <v>439.74144999999999</v>
      </c>
      <c r="BD289" s="272">
        <v>0.29099999999999998</v>
      </c>
      <c r="BE289" s="334">
        <v>5506.4795999999997</v>
      </c>
      <c r="BG289" s="331">
        <v>4213.00857</v>
      </c>
      <c r="BH289" s="331">
        <v>0</v>
      </c>
      <c r="BI289" s="331">
        <v>0</v>
      </c>
      <c r="BJ289" s="334">
        <v>1293.4710299999999</v>
      </c>
      <c r="BK289" s="331">
        <v>169.59472</v>
      </c>
      <c r="BL289" s="331">
        <v>-400</v>
      </c>
      <c r="BM289" s="331">
        <v>0</v>
      </c>
      <c r="BN289" s="334">
        <v>1523.8763100000001</v>
      </c>
      <c r="BP289" s="334">
        <v>24924.050930000001</v>
      </c>
      <c r="BQ289" s="311">
        <v>5484.0143099999996</v>
      </c>
      <c r="BR289" s="272">
        <v>-22.46529</v>
      </c>
      <c r="BS289" s="461">
        <v>-3789.5887499999999</v>
      </c>
      <c r="BT289" s="272">
        <v>315.89401000000004</v>
      </c>
      <c r="BU289" s="272">
        <v>27.803999999999998</v>
      </c>
      <c r="BV289" s="333">
        <v>9390.9285500000005</v>
      </c>
      <c r="BX289" s="272">
        <v>11727.30717</v>
      </c>
      <c r="BY289" s="469">
        <v>-31.55358</v>
      </c>
      <c r="BZ289" s="469">
        <v>-2873.8022799999999</v>
      </c>
      <c r="CA289" s="552"/>
      <c r="CB289" s="335">
        <v>8.6</v>
      </c>
      <c r="CC289" s="471">
        <f t="shared" si="4"/>
        <v>8.6</v>
      </c>
      <c r="CD289" s="558"/>
      <c r="CE289" s="272"/>
      <c r="CF289" s="262"/>
      <c r="CI289" s="158">
        <v>0</v>
      </c>
      <c r="CJ289" s="331">
        <v>8034.6695042945739</v>
      </c>
      <c r="CK289" s="331">
        <v>7856.1202550191001</v>
      </c>
      <c r="CL289" s="331">
        <v>7828.4095299414539</v>
      </c>
      <c r="CM289" s="472">
        <v>8287.5777712202689</v>
      </c>
      <c r="CN289" s="472">
        <v>8457.49134565229</v>
      </c>
      <c r="CO289" s="480">
        <v>595.79200000000003</v>
      </c>
      <c r="CP289" s="557"/>
      <c r="CQ289" s="474">
        <v>155.30534</v>
      </c>
      <c r="CR289" s="474">
        <v>188.89348000000001</v>
      </c>
    </row>
    <row r="290" spans="1:96" x14ac:dyDescent="0.2">
      <c r="A290" s="265">
        <v>946</v>
      </c>
      <c r="B290" s="262" t="s">
        <v>379</v>
      </c>
      <c r="C290" s="325">
        <v>6291</v>
      </c>
      <c r="D290" s="270">
        <v>8.8600000000000012</v>
      </c>
      <c r="E290" s="311"/>
      <c r="F290" s="310"/>
      <c r="G290" s="272">
        <v>7561.0205400000004</v>
      </c>
      <c r="H290" s="272">
        <v>28096.314859999999</v>
      </c>
      <c r="I290" s="272"/>
      <c r="J290" s="272">
        <v>10763.84863</v>
      </c>
      <c r="K290" s="272">
        <v>1690.8440399999999</v>
      </c>
      <c r="L290" s="272">
        <v>2391.14282</v>
      </c>
      <c r="M290" s="272">
        <v>14845.835489999999</v>
      </c>
      <c r="N290" s="272">
        <v>9006.7340000000004</v>
      </c>
      <c r="O290" s="272">
        <v>97.464500000000001</v>
      </c>
      <c r="P290" s="272">
        <v>380.36977000000002</v>
      </c>
      <c r="Q290" s="272">
        <v>45.013339999999999</v>
      </c>
      <c r="R290" s="272">
        <v>27.868689999999997</v>
      </c>
      <c r="S290" s="272">
        <v>3051.5145499999999</v>
      </c>
      <c r="T290" s="310"/>
      <c r="U290" s="272">
        <v>2046.6175800000001</v>
      </c>
      <c r="V290" s="272">
        <v>0</v>
      </c>
      <c r="W290" s="272">
        <v>0</v>
      </c>
      <c r="X290" s="272">
        <v>1004.89697</v>
      </c>
      <c r="Y290" s="272">
        <v>-252.48335</v>
      </c>
      <c r="Z290" s="272">
        <v>0</v>
      </c>
      <c r="AA290" s="272">
        <v>39.178800000000003</v>
      </c>
      <c r="AB290" s="272">
        <v>1218.2015200000001</v>
      </c>
      <c r="AC290" s="310"/>
      <c r="AD290" s="272">
        <v>7592.5761300000013</v>
      </c>
      <c r="AE290" s="462">
        <v>3023.48758</v>
      </c>
      <c r="AF290" s="333">
        <v>-28.026970000000002</v>
      </c>
      <c r="AG290" s="272">
        <v>-10907.09359</v>
      </c>
      <c r="AH290" s="272">
        <v>1389.6</v>
      </c>
      <c r="AI290" s="333">
        <v>160.71679</v>
      </c>
      <c r="AJ290" s="272">
        <v>3265.43273</v>
      </c>
      <c r="AK290" s="310"/>
      <c r="AL290" s="272">
        <v>36887.159700000004</v>
      </c>
      <c r="AM290" s="333">
        <v>0</v>
      </c>
      <c r="AN290" s="272">
        <v>8665.1618600000002</v>
      </c>
      <c r="AO290" s="343">
        <v>6210</v>
      </c>
      <c r="AP290" s="332">
        <v>9.1999999999999993</v>
      </c>
      <c r="AQ290" s="446"/>
      <c r="AR290" s="452"/>
      <c r="AS290" s="455">
        <v>7095.7341900000001</v>
      </c>
      <c r="AT290" s="272">
        <v>27621.617600000001</v>
      </c>
      <c r="AU290" s="451"/>
      <c r="AV290" s="333">
        <v>11257.823480000001</v>
      </c>
      <c r="AW290" s="333">
        <v>1343.2936399999999</v>
      </c>
      <c r="AX290" s="333">
        <v>2734.4795099999997</v>
      </c>
      <c r="AY290" s="333">
        <v>15335.59663</v>
      </c>
      <c r="AZ290" s="333">
        <v>8834.9930000000004</v>
      </c>
      <c r="BA290" s="333">
        <v>103.60544</v>
      </c>
      <c r="BB290" s="333">
        <v>746.93984999999998</v>
      </c>
      <c r="BC290" s="333">
        <v>260.05523999999997</v>
      </c>
      <c r="BD290" s="333">
        <v>81.51549</v>
      </c>
      <c r="BE290" s="333">
        <v>3179.91156</v>
      </c>
      <c r="BF290" s="452"/>
      <c r="BG290" s="333">
        <v>1949.1444899999999</v>
      </c>
      <c r="BH290" s="333">
        <v>0</v>
      </c>
      <c r="BI290" s="333">
        <v>0</v>
      </c>
      <c r="BJ290" s="333">
        <v>1230.7670700000001</v>
      </c>
      <c r="BK290" s="333">
        <v>-252.48335</v>
      </c>
      <c r="BL290" s="333">
        <v>0</v>
      </c>
      <c r="BM290" s="333">
        <v>117.26213</v>
      </c>
      <c r="BN290" s="333">
        <v>1365.98829</v>
      </c>
      <c r="BO290" s="452"/>
      <c r="BP290" s="333">
        <v>8958.5644200000006</v>
      </c>
      <c r="BQ290" s="462">
        <v>3111.53899</v>
      </c>
      <c r="BR290" s="333">
        <v>-68.37257000000001</v>
      </c>
      <c r="BS290" s="333">
        <v>-12760.32807</v>
      </c>
      <c r="BT290" s="333">
        <v>1004.4</v>
      </c>
      <c r="BU290" s="333">
        <v>66.3</v>
      </c>
      <c r="BV290" s="333">
        <v>2325.0595800000001</v>
      </c>
      <c r="BW290" s="452"/>
      <c r="BX290" s="333">
        <v>43930.317170000002</v>
      </c>
      <c r="BY290" s="469">
        <v>0</v>
      </c>
      <c r="BZ290" s="469">
        <v>7037.3130700000002</v>
      </c>
      <c r="CA290" s="452"/>
      <c r="CB290" s="335">
        <v>9.2000000000000011</v>
      </c>
      <c r="CC290" s="471">
        <f t="shared" si="4"/>
        <v>9.2000000000000011</v>
      </c>
      <c r="CD290" s="558"/>
      <c r="CE290" s="272"/>
      <c r="CF290" s="262"/>
      <c r="CG290" s="310"/>
      <c r="CH290" s="310"/>
      <c r="CI290" s="310">
        <v>0</v>
      </c>
      <c r="CJ290" s="333">
        <v>9514.439933687996</v>
      </c>
      <c r="CK290" s="333">
        <v>9599.6294709785052</v>
      </c>
      <c r="CL290" s="331">
        <v>10200.052600067147</v>
      </c>
      <c r="CM290" s="472">
        <v>10748.587117770998</v>
      </c>
      <c r="CN290" s="472">
        <v>11076.836531431309</v>
      </c>
      <c r="CO290" s="480">
        <v>799.47500000000002</v>
      </c>
      <c r="CP290" s="557"/>
      <c r="CQ290" s="474">
        <v>0</v>
      </c>
      <c r="CR290" s="474">
        <v>0</v>
      </c>
    </row>
    <row r="291" spans="1:96" x14ac:dyDescent="0.2">
      <c r="A291" s="154">
        <v>976</v>
      </c>
      <c r="B291" s="156" t="s">
        <v>312</v>
      </c>
      <c r="C291" s="325">
        <v>3765</v>
      </c>
      <c r="D291" s="270">
        <v>7.3599999999999994</v>
      </c>
      <c r="E291" s="185"/>
      <c r="G291" s="272">
        <v>4900.4228700000003</v>
      </c>
      <c r="H291" s="272">
        <v>14263.01965</v>
      </c>
      <c r="I291" s="272"/>
      <c r="J291" s="272">
        <v>5269.9499100000003</v>
      </c>
      <c r="K291" s="272">
        <v>670.60648000000003</v>
      </c>
      <c r="L291" s="272">
        <v>1341.6393400000002</v>
      </c>
      <c r="M291" s="272">
        <v>7282.1957300000004</v>
      </c>
      <c r="N291" s="272">
        <v>5053.4560000000001</v>
      </c>
      <c r="O291" s="272">
        <v>29.228560000000002</v>
      </c>
      <c r="P291" s="272">
        <v>57.225059999999999</v>
      </c>
      <c r="Q291" s="272">
        <v>140.46172000000001</v>
      </c>
      <c r="R291" s="272">
        <v>15.08422</v>
      </c>
      <c r="S291" s="272">
        <v>3070.43595</v>
      </c>
      <c r="U291" s="272">
        <v>1444.6979699999999</v>
      </c>
      <c r="V291" s="272">
        <v>0</v>
      </c>
      <c r="W291" s="272">
        <v>0</v>
      </c>
      <c r="X291" s="272">
        <v>1625.7379799999999</v>
      </c>
      <c r="Y291" s="272">
        <v>-150.23041000000001</v>
      </c>
      <c r="Z291" s="272">
        <v>0</v>
      </c>
      <c r="AA291" s="272">
        <v>-37.72</v>
      </c>
      <c r="AB291" s="272">
        <v>1813.6883899999998</v>
      </c>
      <c r="AD291" s="272">
        <v>10394.37307</v>
      </c>
      <c r="AE291" s="157">
        <v>3119.59238</v>
      </c>
      <c r="AF291" s="184">
        <v>49.15643</v>
      </c>
      <c r="AG291" s="272">
        <v>-2321.6173399999998</v>
      </c>
      <c r="AH291" s="272">
        <v>88</v>
      </c>
      <c r="AI291" s="184">
        <v>189.00399999999999</v>
      </c>
      <c r="AJ291" s="272">
        <v>9638.7742899999994</v>
      </c>
      <c r="AL291" s="272">
        <v>4626.7269999999999</v>
      </c>
      <c r="AM291" s="184">
        <v>23.021999999999998</v>
      </c>
      <c r="AN291" s="272">
        <v>1076.29295</v>
      </c>
      <c r="AO291" s="343">
        <v>3721</v>
      </c>
      <c r="AP291" s="332">
        <v>8.4</v>
      </c>
      <c r="AQ291" s="448"/>
      <c r="AS291" s="455">
        <v>4317.68264</v>
      </c>
      <c r="AT291" s="272">
        <v>13206.036990000001</v>
      </c>
      <c r="AU291" s="450"/>
      <c r="AV291" s="334">
        <v>5902.8353899999993</v>
      </c>
      <c r="AW291" s="334">
        <v>541.26688000000001</v>
      </c>
      <c r="AX291" s="334">
        <v>1436.9663799999998</v>
      </c>
      <c r="AY291" s="334">
        <v>7881.0686500000002</v>
      </c>
      <c r="AZ291" s="334">
        <v>3380.1559999999999</v>
      </c>
      <c r="BA291" s="272">
        <v>25.384919999999997</v>
      </c>
      <c r="BB291" s="333">
        <v>73.985710000000012</v>
      </c>
      <c r="BC291" s="272">
        <v>127.04971</v>
      </c>
      <c r="BD291" s="272">
        <v>12.973790000000001</v>
      </c>
      <c r="BE291" s="334">
        <v>2438.3454300000003</v>
      </c>
      <c r="BG291" s="331">
        <v>1632.5450000000001</v>
      </c>
      <c r="BH291" s="331">
        <v>0</v>
      </c>
      <c r="BI291" s="331">
        <v>100.5714</v>
      </c>
      <c r="BJ291" s="334">
        <v>705.22903000000008</v>
      </c>
      <c r="BK291" s="331">
        <v>-7.7718699999999998</v>
      </c>
      <c r="BL291" s="331">
        <v>0</v>
      </c>
      <c r="BM291" s="331">
        <v>0</v>
      </c>
      <c r="BN291" s="334">
        <v>713.0009</v>
      </c>
      <c r="BP291" s="334">
        <v>11107.373970000001</v>
      </c>
      <c r="BQ291" s="311">
        <v>2438.3454300000003</v>
      </c>
      <c r="BR291" s="272">
        <v>100.5714</v>
      </c>
      <c r="BS291" s="461">
        <v>-295.28528</v>
      </c>
      <c r="BT291" s="272">
        <v>0</v>
      </c>
      <c r="BU291" s="272">
        <v>78.074600000000004</v>
      </c>
      <c r="BV291" s="333">
        <v>11265.332410000001</v>
      </c>
      <c r="BX291" s="272">
        <v>4290.9288399999996</v>
      </c>
      <c r="BY291" s="469">
        <v>19.8352</v>
      </c>
      <c r="BZ291" s="469">
        <v>-335.79815000000002</v>
      </c>
      <c r="CA291" s="552"/>
      <c r="CB291" s="335">
        <v>8.4</v>
      </c>
      <c r="CC291" s="471">
        <f t="shared" si="4"/>
        <v>8.4</v>
      </c>
      <c r="CD291" s="559"/>
      <c r="CE291" s="272"/>
      <c r="CF291" s="262"/>
      <c r="CI291" s="158">
        <v>0</v>
      </c>
      <c r="CJ291" s="331">
        <v>4312.2603382704183</v>
      </c>
      <c r="CK291" s="331">
        <v>4376.4487754721604</v>
      </c>
      <c r="CL291" s="331">
        <v>4433.0518212664065</v>
      </c>
      <c r="CM291" s="472">
        <v>4726.4288804503913</v>
      </c>
      <c r="CN291" s="472">
        <v>4911.1128608367326</v>
      </c>
      <c r="CO291" s="480">
        <v>-642.66600000000005</v>
      </c>
      <c r="CP291" s="557"/>
      <c r="CQ291" s="474">
        <v>0</v>
      </c>
      <c r="CR291" s="474">
        <v>0</v>
      </c>
    </row>
    <row r="292" spans="1:96" x14ac:dyDescent="0.2">
      <c r="A292" s="154">
        <v>977</v>
      </c>
      <c r="B292" s="156" t="s">
        <v>313</v>
      </c>
      <c r="C292" s="325">
        <v>15369</v>
      </c>
      <c r="D292" s="270">
        <v>10.36</v>
      </c>
      <c r="E292" s="185"/>
      <c r="G292" s="272">
        <v>14141.213369999999</v>
      </c>
      <c r="H292" s="272">
        <v>62039.626060000002</v>
      </c>
      <c r="I292" s="272"/>
      <c r="J292" s="272">
        <v>30507.029030000002</v>
      </c>
      <c r="K292" s="272">
        <v>3791.0399500000003</v>
      </c>
      <c r="L292" s="272">
        <v>5472.0945999999994</v>
      </c>
      <c r="M292" s="272">
        <v>39770.16358</v>
      </c>
      <c r="N292" s="272">
        <v>18847.362300000001</v>
      </c>
      <c r="O292" s="272">
        <v>984.11017000000004</v>
      </c>
      <c r="P292" s="272">
        <v>2816.9972200000002</v>
      </c>
      <c r="Q292" s="272">
        <v>296.41164000000003</v>
      </c>
      <c r="R292" s="272">
        <v>304.33330000000001</v>
      </c>
      <c r="S292" s="272">
        <v>9028.9082300000009</v>
      </c>
      <c r="U292" s="272">
        <v>7033.2747099999997</v>
      </c>
      <c r="V292" s="272">
        <v>0</v>
      </c>
      <c r="W292" s="272">
        <v>0</v>
      </c>
      <c r="X292" s="272">
        <v>1995.6335200000001</v>
      </c>
      <c r="Y292" s="272">
        <v>0</v>
      </c>
      <c r="Z292" s="272">
        <v>0</v>
      </c>
      <c r="AA292" s="272">
        <v>0</v>
      </c>
      <c r="AB292" s="272">
        <v>1995.6335200000001</v>
      </c>
      <c r="AD292" s="272">
        <v>3859.8576499999999</v>
      </c>
      <c r="AE292" s="157">
        <v>8828.3337899999988</v>
      </c>
      <c r="AF292" s="184">
        <v>-200.57444000000001</v>
      </c>
      <c r="AG292" s="272">
        <v>-6104.8889900000004</v>
      </c>
      <c r="AH292" s="272">
        <v>406.64301</v>
      </c>
      <c r="AI292" s="184">
        <v>3797.5558999999998</v>
      </c>
      <c r="AJ292" s="272">
        <v>1636.5817299999999</v>
      </c>
      <c r="AL292" s="272">
        <v>114299.40656</v>
      </c>
      <c r="AM292" s="184">
        <v>224.352</v>
      </c>
      <c r="AN292" s="272">
        <v>-4367.2634400000006</v>
      </c>
      <c r="AO292" s="343">
        <v>15406</v>
      </c>
      <c r="AP292" s="332">
        <v>10.3</v>
      </c>
      <c r="AQ292" s="448"/>
      <c r="AS292" s="455">
        <v>16203.412550000001</v>
      </c>
      <c r="AT292" s="272">
        <v>62333.729079999997</v>
      </c>
      <c r="AU292" s="450"/>
      <c r="AV292" s="334">
        <v>32020.031289999999</v>
      </c>
      <c r="AW292" s="334">
        <v>3113.1526699999999</v>
      </c>
      <c r="AX292" s="334">
        <v>5252.8217300000006</v>
      </c>
      <c r="AY292" s="334">
        <v>40386.005689999998</v>
      </c>
      <c r="AZ292" s="334">
        <v>17212.16</v>
      </c>
      <c r="BA292" s="272">
        <v>1428.7163700000001</v>
      </c>
      <c r="BB292" s="333">
        <v>2781.2090099999996</v>
      </c>
      <c r="BC292" s="272">
        <v>269.32446999999996</v>
      </c>
      <c r="BD292" s="272">
        <v>145.12898000000001</v>
      </c>
      <c r="BE292" s="334">
        <v>10358.389509999999</v>
      </c>
      <c r="BG292" s="331">
        <v>9687.2677600000006</v>
      </c>
      <c r="BH292" s="331">
        <v>0</v>
      </c>
      <c r="BI292" s="331">
        <v>0</v>
      </c>
      <c r="BJ292" s="334">
        <v>671.12175000000002</v>
      </c>
      <c r="BK292" s="331">
        <v>0</v>
      </c>
      <c r="BL292" s="331">
        <v>0</v>
      </c>
      <c r="BM292" s="331">
        <v>0</v>
      </c>
      <c r="BN292" s="334">
        <v>671.12175000000002</v>
      </c>
      <c r="BP292" s="334">
        <v>4530.9794000000002</v>
      </c>
      <c r="BQ292" s="311">
        <v>9963.3166300000012</v>
      </c>
      <c r="BR292" s="272">
        <v>-395.07285999999999</v>
      </c>
      <c r="BS292" s="461">
        <v>-4885.7211399999997</v>
      </c>
      <c r="BT292" s="272">
        <v>275.80099999999999</v>
      </c>
      <c r="BU292" s="272">
        <v>365.89585999999997</v>
      </c>
      <c r="BV292" s="333">
        <v>5026.6288600000007</v>
      </c>
      <c r="BX292" s="272">
        <v>113600</v>
      </c>
      <c r="BY292" s="469">
        <v>-925.64800000000002</v>
      </c>
      <c r="BZ292" s="469">
        <v>-699.40656000000001</v>
      </c>
      <c r="CA292" s="552"/>
      <c r="CB292" s="335">
        <v>10.3</v>
      </c>
      <c r="CC292" s="471">
        <f t="shared" si="4"/>
        <v>10.3</v>
      </c>
      <c r="CD292" s="558"/>
      <c r="CE292" s="272"/>
      <c r="CF292" s="262"/>
      <c r="CG292" s="260"/>
      <c r="CI292" s="158">
        <v>0</v>
      </c>
      <c r="CJ292" s="331">
        <v>17450.81911096007</v>
      </c>
      <c r="CK292" s="331">
        <v>17710.521502786083</v>
      </c>
      <c r="CL292" s="331">
        <v>19568.438744350806</v>
      </c>
      <c r="CM292" s="472">
        <v>20544.527108991628</v>
      </c>
      <c r="CN292" s="472">
        <v>21049.700247660676</v>
      </c>
      <c r="CO292" s="480">
        <v>522.74800000000005</v>
      </c>
      <c r="CP292" s="557"/>
      <c r="CQ292" s="474">
        <v>150.60374999999999</v>
      </c>
      <c r="CR292" s="474">
        <v>118.83750000000001</v>
      </c>
    </row>
    <row r="293" spans="1:96" x14ac:dyDescent="0.2">
      <c r="A293" s="154">
        <v>980</v>
      </c>
      <c r="B293" s="156" t="s">
        <v>314</v>
      </c>
      <c r="C293" s="325">
        <v>33677</v>
      </c>
      <c r="D293" s="270">
        <v>7.86</v>
      </c>
      <c r="E293" s="185"/>
      <c r="G293" s="272">
        <v>21414.377469999999</v>
      </c>
      <c r="H293" s="272">
        <v>119460.65418000001</v>
      </c>
      <c r="I293" s="272"/>
      <c r="J293" s="272">
        <v>65560.776360000003</v>
      </c>
      <c r="K293" s="272">
        <v>8445.4210999999996</v>
      </c>
      <c r="L293" s="272">
        <v>7997.8788399999994</v>
      </c>
      <c r="M293" s="272">
        <v>82004.076300000001</v>
      </c>
      <c r="N293" s="272">
        <v>27396.859</v>
      </c>
      <c r="O293" s="272">
        <v>461.87180999999998</v>
      </c>
      <c r="P293" s="272">
        <v>3072.2906899999998</v>
      </c>
      <c r="Q293" s="272">
        <v>2205.3182900000002</v>
      </c>
      <c r="R293" s="272">
        <v>807.12801999999999</v>
      </c>
      <c r="S293" s="272">
        <v>16648.474109999999</v>
      </c>
      <c r="U293" s="272">
        <v>12192.396710000001</v>
      </c>
      <c r="V293" s="272">
        <v>0</v>
      </c>
      <c r="W293" s="272">
        <v>0</v>
      </c>
      <c r="X293" s="272">
        <v>4456.0774000000001</v>
      </c>
      <c r="Y293" s="272">
        <v>5403.3425499999994</v>
      </c>
      <c r="Z293" s="272">
        <v>-6500</v>
      </c>
      <c r="AA293" s="272">
        <v>0</v>
      </c>
      <c r="AB293" s="272">
        <v>5552.7348499999998</v>
      </c>
      <c r="AD293" s="272">
        <v>56162.688470000001</v>
      </c>
      <c r="AE293" s="157">
        <v>10934.030580000001</v>
      </c>
      <c r="AF293" s="184">
        <v>-5714.4435300000005</v>
      </c>
      <c r="AG293" s="272">
        <v>-25106.941260000003</v>
      </c>
      <c r="AH293" s="272">
        <v>500.14071000000001</v>
      </c>
      <c r="AI293" s="184">
        <v>5890.0959999999995</v>
      </c>
      <c r="AJ293" s="272">
        <v>11620.582380000002</v>
      </c>
      <c r="AL293" s="272">
        <v>102190</v>
      </c>
      <c r="AM293" s="184">
        <v>546.11136999999997</v>
      </c>
      <c r="AN293" s="272">
        <v>11360</v>
      </c>
      <c r="AO293" s="343">
        <v>33704</v>
      </c>
      <c r="AP293" s="332">
        <v>8.4</v>
      </c>
      <c r="AQ293" s="448"/>
      <c r="AS293" s="455">
        <v>18171.960370000001</v>
      </c>
      <c r="AT293" s="272">
        <v>122338.36056</v>
      </c>
      <c r="AU293" s="450"/>
      <c r="AV293" s="334">
        <v>65957.002760000003</v>
      </c>
      <c r="AW293" s="334">
        <v>7327.2889800000003</v>
      </c>
      <c r="AX293" s="334">
        <v>8881.5730999999996</v>
      </c>
      <c r="AY293" s="334">
        <v>82165.864840000009</v>
      </c>
      <c r="AZ293" s="334">
        <v>25871.920999999998</v>
      </c>
      <c r="BA293" s="272">
        <v>468.46969999999999</v>
      </c>
      <c r="BB293" s="333">
        <v>3196.7957200000001</v>
      </c>
      <c r="BC293" s="272">
        <v>1674.4054900000001</v>
      </c>
      <c r="BD293" s="272">
        <v>413.20201000000003</v>
      </c>
      <c r="BE293" s="334">
        <v>9589.0422699999999</v>
      </c>
      <c r="BG293" s="331">
        <v>13419.793230000001</v>
      </c>
      <c r="BH293" s="334">
        <v>0</v>
      </c>
      <c r="BI293" s="331">
        <v>0</v>
      </c>
      <c r="BJ293" s="334">
        <v>-3830.7509599999998</v>
      </c>
      <c r="BK293" s="331">
        <v>-1126.4407800000001</v>
      </c>
      <c r="BL293" s="331">
        <v>-348</v>
      </c>
      <c r="BM293" s="331">
        <v>0</v>
      </c>
      <c r="BN293" s="334">
        <v>-2356.3101799999999</v>
      </c>
      <c r="BP293" s="334">
        <v>53806.378290000001</v>
      </c>
      <c r="BQ293" s="311">
        <v>7462.6732699999993</v>
      </c>
      <c r="BR293" s="272">
        <v>-2126.3690000000001</v>
      </c>
      <c r="BS293" s="461">
        <v>-25573.50042</v>
      </c>
      <c r="BT293" s="272">
        <v>250</v>
      </c>
      <c r="BU293" s="272">
        <v>1992.9983400000001</v>
      </c>
      <c r="BV293" s="333">
        <v>15841.76161</v>
      </c>
      <c r="BX293" s="272">
        <v>121931.44676000001</v>
      </c>
      <c r="BY293" s="469">
        <v>584.46657999999991</v>
      </c>
      <c r="BZ293" s="469">
        <v>19741.446760000003</v>
      </c>
      <c r="CA293" s="552"/>
      <c r="CB293" s="335">
        <v>8.4</v>
      </c>
      <c r="CC293" s="471">
        <f t="shared" si="4"/>
        <v>8.4</v>
      </c>
      <c r="CD293" s="558"/>
      <c r="CE293" s="272"/>
      <c r="CF293" s="262"/>
      <c r="CI293" s="158">
        <v>0</v>
      </c>
      <c r="CJ293" s="331">
        <v>27740.619676738967</v>
      </c>
      <c r="CK293" s="331">
        <v>27983.788987535085</v>
      </c>
      <c r="CL293" s="331">
        <v>28782.814800911627</v>
      </c>
      <c r="CM293" s="472">
        <v>30786.48977753639</v>
      </c>
      <c r="CN293" s="472">
        <v>30578.055958996516</v>
      </c>
      <c r="CO293" s="480">
        <v>-3676.9989999999998</v>
      </c>
      <c r="CP293" s="557"/>
      <c r="CQ293" s="474">
        <v>6506.0441300000002</v>
      </c>
      <c r="CR293" s="474">
        <v>7184.77916</v>
      </c>
    </row>
    <row r="294" spans="1:96" x14ac:dyDescent="0.2">
      <c r="A294" s="154">
        <v>981</v>
      </c>
      <c r="B294" s="156" t="s">
        <v>315</v>
      </c>
      <c r="C294" s="325">
        <v>2207</v>
      </c>
      <c r="D294" s="270">
        <v>9.36</v>
      </c>
      <c r="E294" s="185"/>
      <c r="G294" s="272">
        <v>1844.32476</v>
      </c>
      <c r="H294" s="272">
        <v>7293.9324000000006</v>
      </c>
      <c r="I294" s="272"/>
      <c r="J294" s="272">
        <v>4282.2257</v>
      </c>
      <c r="K294" s="272">
        <v>240.45282999999998</v>
      </c>
      <c r="L294" s="272">
        <v>639.34792000000004</v>
      </c>
      <c r="M294" s="272">
        <v>5162.0264500000003</v>
      </c>
      <c r="N294" s="272">
        <v>1833.4770000000001</v>
      </c>
      <c r="O294" s="272">
        <v>48.460999999999999</v>
      </c>
      <c r="P294" s="272">
        <v>37.6325</v>
      </c>
      <c r="Q294" s="272">
        <v>26.9038</v>
      </c>
      <c r="R294" s="272">
        <v>1.5910499999999999</v>
      </c>
      <c r="S294" s="272">
        <v>1582.0370600000001</v>
      </c>
      <c r="U294" s="272">
        <v>590.48431000000005</v>
      </c>
      <c r="V294" s="272">
        <v>0</v>
      </c>
      <c r="W294" s="272">
        <v>0</v>
      </c>
      <c r="X294" s="272">
        <v>991.55274999999995</v>
      </c>
      <c r="Y294" s="272">
        <v>-12.68698</v>
      </c>
      <c r="Z294" s="272">
        <v>0</v>
      </c>
      <c r="AA294" s="272">
        <v>0</v>
      </c>
      <c r="AB294" s="272">
        <v>1004.23973</v>
      </c>
      <c r="AD294" s="272">
        <v>4883.5584500000004</v>
      </c>
      <c r="AE294" s="157">
        <v>1582.0370600000001</v>
      </c>
      <c r="AF294" s="184">
        <v>0</v>
      </c>
      <c r="AG294" s="272">
        <v>-787.68606999999997</v>
      </c>
      <c r="AH294" s="272">
        <v>0</v>
      </c>
      <c r="AI294" s="184">
        <v>-63.554480000000005</v>
      </c>
      <c r="AJ294" s="272">
        <v>3891.10302</v>
      </c>
      <c r="AL294" s="272">
        <v>1350.086</v>
      </c>
      <c r="AM294" s="184">
        <v>6.1124399999999994</v>
      </c>
      <c r="AN294" s="272">
        <v>-23.153650000000003</v>
      </c>
      <c r="AO294" s="343">
        <v>2193</v>
      </c>
      <c r="AP294" s="332">
        <v>9.3000000000000007</v>
      </c>
      <c r="AQ294" s="448"/>
      <c r="AS294" s="455">
        <v>2030.2666399999998</v>
      </c>
      <c r="AT294" s="272">
        <v>7672.7320599999994</v>
      </c>
      <c r="AU294" s="450"/>
      <c r="AV294" s="334">
        <v>3969.3798999999999</v>
      </c>
      <c r="AW294" s="334">
        <v>225.28131999999999</v>
      </c>
      <c r="AX294" s="334">
        <v>685.99639000000002</v>
      </c>
      <c r="AY294" s="334">
        <v>4880.6576100000002</v>
      </c>
      <c r="AZ294" s="334">
        <v>1747.327</v>
      </c>
      <c r="BA294" s="272">
        <v>50.668210000000002</v>
      </c>
      <c r="BB294" s="333">
        <v>43.064449999999994</v>
      </c>
      <c r="BC294" s="272">
        <v>32.973849999999999</v>
      </c>
      <c r="BD294" s="272">
        <v>2.0639499999999997</v>
      </c>
      <c r="BE294" s="334">
        <v>1024.0328500000001</v>
      </c>
      <c r="BG294" s="331">
        <v>613.11128000000008</v>
      </c>
      <c r="BH294" s="331">
        <v>0</v>
      </c>
      <c r="BI294" s="331">
        <v>315.23159999999996</v>
      </c>
      <c r="BJ294" s="334">
        <v>95.689970000000002</v>
      </c>
      <c r="BK294" s="334">
        <v>-12.68698</v>
      </c>
      <c r="BL294" s="334">
        <v>0</v>
      </c>
      <c r="BM294" s="331">
        <v>0</v>
      </c>
      <c r="BN294" s="334">
        <v>108.37694999999999</v>
      </c>
      <c r="BP294" s="334">
        <v>4991.9354000000003</v>
      </c>
      <c r="BQ294" s="311">
        <v>708.80124999999998</v>
      </c>
      <c r="BR294" s="272">
        <v>0</v>
      </c>
      <c r="BS294" s="461">
        <v>-551.84689000000003</v>
      </c>
      <c r="BT294" s="272">
        <v>0</v>
      </c>
      <c r="BU294" s="272">
        <v>1003.0865</v>
      </c>
      <c r="BV294" s="333">
        <v>4996.3212000000003</v>
      </c>
      <c r="BX294" s="272">
        <v>1330.164</v>
      </c>
      <c r="BY294" s="469">
        <v>6.1124399999999994</v>
      </c>
      <c r="BZ294" s="469">
        <v>-19.922000000000001</v>
      </c>
      <c r="CA294" s="552"/>
      <c r="CB294" s="335">
        <v>9.3000000000000007</v>
      </c>
      <c r="CC294" s="471">
        <f t="shared" si="4"/>
        <v>9.3000000000000007</v>
      </c>
      <c r="CD294" s="558"/>
      <c r="CE294" s="272"/>
      <c r="CF294" s="262"/>
      <c r="CI294" s="158">
        <v>0</v>
      </c>
      <c r="CJ294" s="331">
        <v>1942.2807913289314</v>
      </c>
      <c r="CK294" s="331">
        <v>1776.9981545951275</v>
      </c>
      <c r="CL294" s="331">
        <v>2018.3433815974452</v>
      </c>
      <c r="CM294" s="472">
        <v>2115.6644853603316</v>
      </c>
      <c r="CN294" s="472">
        <v>2076.4906732589334</v>
      </c>
      <c r="CO294" s="480">
        <v>-510.49700000000001</v>
      </c>
      <c r="CP294" s="557"/>
      <c r="CQ294" s="474">
        <v>0</v>
      </c>
      <c r="CR294" s="474">
        <v>0</v>
      </c>
    </row>
    <row r="295" spans="1:96" x14ac:dyDescent="0.2">
      <c r="A295" s="154">
        <v>989</v>
      </c>
      <c r="B295" s="156" t="s">
        <v>316</v>
      </c>
      <c r="C295" s="325">
        <v>5316</v>
      </c>
      <c r="D295" s="270">
        <v>9.86</v>
      </c>
      <c r="E295" s="185"/>
      <c r="G295" s="272">
        <v>3526.6526100000001</v>
      </c>
      <c r="H295" s="272">
        <v>24848.777340000001</v>
      </c>
      <c r="I295" s="272"/>
      <c r="J295" s="272">
        <v>9451.9686799999999</v>
      </c>
      <c r="K295" s="272">
        <v>1559.5719799999999</v>
      </c>
      <c r="L295" s="272">
        <v>2160.41887</v>
      </c>
      <c r="M295" s="272">
        <v>13171.95953</v>
      </c>
      <c r="N295" s="272">
        <v>2711.569</v>
      </c>
      <c r="O295" s="272">
        <v>26.69605</v>
      </c>
      <c r="P295" s="272">
        <v>1091.75532</v>
      </c>
      <c r="Q295" s="272">
        <v>510.51727</v>
      </c>
      <c r="R295" s="272">
        <v>1.19981</v>
      </c>
      <c r="S295" s="272">
        <v>-5828.4646399999992</v>
      </c>
      <c r="U295" s="272">
        <v>1727.6126299999999</v>
      </c>
      <c r="V295" s="272">
        <v>640.17642000000001</v>
      </c>
      <c r="W295" s="272">
        <v>0</v>
      </c>
      <c r="X295" s="272">
        <v>-6915.90085</v>
      </c>
      <c r="Y295" s="272">
        <v>0</v>
      </c>
      <c r="Z295" s="272">
        <v>0</v>
      </c>
      <c r="AA295" s="272">
        <v>0</v>
      </c>
      <c r="AB295" s="272">
        <v>-6915.90085</v>
      </c>
      <c r="AD295" s="272">
        <v>-2628.8561799999998</v>
      </c>
      <c r="AE295" s="157">
        <v>2468.3469</v>
      </c>
      <c r="AF295" s="184">
        <v>-5.7683200000000001</v>
      </c>
      <c r="AG295" s="272">
        <v>-17904.296890000001</v>
      </c>
      <c r="AH295" s="272">
        <v>451.39299999999997</v>
      </c>
      <c r="AI295" s="184">
        <v>465.35897999999997</v>
      </c>
      <c r="AJ295" s="272">
        <v>3079.7714000000001</v>
      </c>
      <c r="AL295" s="272">
        <v>41612.01453</v>
      </c>
      <c r="AM295" s="184">
        <v>-39.220330000000004</v>
      </c>
      <c r="AN295" s="272">
        <v>17112.01453</v>
      </c>
      <c r="AO295" s="343">
        <v>5220</v>
      </c>
      <c r="AP295" s="332">
        <v>10.1</v>
      </c>
      <c r="AQ295" s="448"/>
      <c r="AS295" s="455">
        <v>3552.8811700000001</v>
      </c>
      <c r="AT295" s="272">
        <v>20341.303199999998</v>
      </c>
      <c r="AU295" s="450"/>
      <c r="AV295" s="334">
        <v>9631.8392100000001</v>
      </c>
      <c r="AW295" s="334">
        <v>1256.40995</v>
      </c>
      <c r="AX295" s="334">
        <v>2210.2344399999997</v>
      </c>
      <c r="AY295" s="334">
        <v>13098.4836</v>
      </c>
      <c r="AZ295" s="334">
        <v>3271.895</v>
      </c>
      <c r="BA295" s="272">
        <v>24.476509999999998</v>
      </c>
      <c r="BB295" s="333">
        <v>1309.9043000000001</v>
      </c>
      <c r="BC295" s="272">
        <v>540.10599000000002</v>
      </c>
      <c r="BD295" s="272">
        <v>0.79825999999999997</v>
      </c>
      <c r="BE295" s="334">
        <v>-912.16349000000002</v>
      </c>
      <c r="BG295" s="331">
        <v>1897.33394</v>
      </c>
      <c r="BH295" s="331">
        <v>0</v>
      </c>
      <c r="BI295" s="331">
        <v>0</v>
      </c>
      <c r="BJ295" s="334">
        <v>-2809.4974300000003</v>
      </c>
      <c r="BK295" s="334">
        <v>0</v>
      </c>
      <c r="BL295" s="331">
        <v>0</v>
      </c>
      <c r="BM295" s="331">
        <v>0</v>
      </c>
      <c r="BN295" s="334">
        <v>-2809.4974300000003</v>
      </c>
      <c r="BP295" s="334">
        <v>-5438.3536100000001</v>
      </c>
      <c r="BQ295" s="311">
        <v>1200.92597</v>
      </c>
      <c r="BR295" s="272">
        <v>-133.09365</v>
      </c>
      <c r="BS295" s="461">
        <v>-9728.12853</v>
      </c>
      <c r="BT295" s="272">
        <v>170</v>
      </c>
      <c r="BU295" s="272">
        <v>203.29347000000001</v>
      </c>
      <c r="BV295" s="333">
        <v>1594.26677</v>
      </c>
      <c r="BX295" s="272">
        <v>50936.59906</v>
      </c>
      <c r="BY295" s="469">
        <v>-0.4</v>
      </c>
      <c r="BZ295" s="469">
        <v>9324.5845300000001</v>
      </c>
      <c r="CA295" s="552"/>
      <c r="CB295" s="335">
        <v>10.600000000000001</v>
      </c>
      <c r="CC295" s="471">
        <f t="shared" si="4"/>
        <v>10.600000000000001</v>
      </c>
      <c r="CD295" s="558"/>
      <c r="CE295" s="272"/>
      <c r="CF295" s="262"/>
      <c r="CI295" s="158">
        <v>0</v>
      </c>
      <c r="CJ295" s="331">
        <v>2957.7170940128203</v>
      </c>
      <c r="CK295" s="331">
        <v>2562.7611905561648</v>
      </c>
      <c r="CL295" s="331">
        <v>2196.8042780872165</v>
      </c>
      <c r="CM295" s="472">
        <v>2678.0811422079851</v>
      </c>
      <c r="CN295" s="472">
        <v>2853.2774297115038</v>
      </c>
      <c r="CO295" s="480">
        <v>-102.624</v>
      </c>
      <c r="CP295" s="557"/>
      <c r="CQ295" s="474">
        <v>165.87336999999999</v>
      </c>
      <c r="CR295" s="474">
        <v>252</v>
      </c>
    </row>
    <row r="296" spans="1:96" x14ac:dyDescent="0.2">
      <c r="A296" s="154">
        <v>992</v>
      </c>
      <c r="B296" s="156" t="s">
        <v>317</v>
      </c>
      <c r="C296" s="325">
        <v>17971</v>
      </c>
      <c r="D296" s="270">
        <v>8.86</v>
      </c>
      <c r="E296" s="185"/>
      <c r="G296" s="272">
        <v>13938.012990000001</v>
      </c>
      <c r="H296" s="272">
        <v>63959.610390000002</v>
      </c>
      <c r="I296" s="272"/>
      <c r="J296" s="272">
        <v>33159.53383</v>
      </c>
      <c r="K296" s="272">
        <v>6769.6499599999997</v>
      </c>
      <c r="L296" s="272">
        <v>6023.71569</v>
      </c>
      <c r="M296" s="272">
        <v>45952.89948</v>
      </c>
      <c r="N296" s="272">
        <v>15593.602999999999</v>
      </c>
      <c r="O296" s="272">
        <v>979.16714999999999</v>
      </c>
      <c r="P296" s="272">
        <v>881.83950000000004</v>
      </c>
      <c r="Q296" s="272">
        <v>2155.4537999999998</v>
      </c>
      <c r="R296" s="272">
        <v>4.625</v>
      </c>
      <c r="S296" s="272">
        <v>13773.061529999999</v>
      </c>
      <c r="U296" s="272">
        <v>9216.1491100000003</v>
      </c>
      <c r="V296" s="272">
        <v>0</v>
      </c>
      <c r="W296" s="272">
        <v>0</v>
      </c>
      <c r="X296" s="272">
        <v>4556.9124199999997</v>
      </c>
      <c r="Y296" s="272">
        <v>-13.907530000000001</v>
      </c>
      <c r="Z296" s="272">
        <v>0</v>
      </c>
      <c r="AA296" s="272">
        <v>0</v>
      </c>
      <c r="AB296" s="272">
        <v>4570.8199500000001</v>
      </c>
      <c r="AD296" s="272">
        <v>7577.0466300000007</v>
      </c>
      <c r="AE296" s="157">
        <v>13806.429699999999</v>
      </c>
      <c r="AF296" s="184">
        <v>33.368169999999999</v>
      </c>
      <c r="AG296" s="272">
        <v>-6366.6783099999993</v>
      </c>
      <c r="AH296" s="272">
        <v>92.6</v>
      </c>
      <c r="AI296" s="184">
        <v>237.05655999999999</v>
      </c>
      <c r="AJ296" s="272">
        <v>1952.4306299999998</v>
      </c>
      <c r="AL296" s="272">
        <v>73168.209999999992</v>
      </c>
      <c r="AM296" s="184">
        <v>0</v>
      </c>
      <c r="AN296" s="272">
        <v>-144.28200000000001</v>
      </c>
      <c r="AO296" s="343">
        <v>17740</v>
      </c>
      <c r="AP296" s="332">
        <v>9.4</v>
      </c>
      <c r="AQ296" s="448"/>
      <c r="AS296" s="455">
        <v>14403.72877</v>
      </c>
      <c r="AT296" s="272">
        <v>63277.69859</v>
      </c>
      <c r="AU296" s="450"/>
      <c r="AV296" s="334">
        <v>34011.472329999997</v>
      </c>
      <c r="AW296" s="334">
        <v>6621.2838300000003</v>
      </c>
      <c r="AX296" s="334">
        <v>7493.6468600000007</v>
      </c>
      <c r="AY296" s="334">
        <v>48126.403020000005</v>
      </c>
      <c r="AZ296" s="334">
        <v>10138.571</v>
      </c>
      <c r="BA296" s="272">
        <v>1012.623</v>
      </c>
      <c r="BB296" s="333">
        <v>924.74905000000001</v>
      </c>
      <c r="BC296" s="272">
        <v>1606.0244</v>
      </c>
      <c r="BD296" s="272">
        <v>44.699179999999998</v>
      </c>
      <c r="BE296" s="334">
        <v>11040.203369999999</v>
      </c>
      <c r="BG296" s="331">
        <v>8369.3676200000009</v>
      </c>
      <c r="BH296" s="331">
        <v>0</v>
      </c>
      <c r="BI296" s="331">
        <v>0</v>
      </c>
      <c r="BJ296" s="334">
        <v>2670.8357500000002</v>
      </c>
      <c r="BK296" s="331">
        <v>-13.907530000000001</v>
      </c>
      <c r="BL296" s="331">
        <v>0</v>
      </c>
      <c r="BM296" s="331">
        <v>0</v>
      </c>
      <c r="BN296" s="334">
        <v>2684.7432799999997</v>
      </c>
      <c r="BP296" s="334">
        <v>10261.78991</v>
      </c>
      <c r="BQ296" s="311">
        <v>10953.7983</v>
      </c>
      <c r="BR296" s="272">
        <v>-86.405070000000009</v>
      </c>
      <c r="BS296" s="461">
        <v>-3053.9566099999997</v>
      </c>
      <c r="BT296" s="272">
        <v>151.80000000000001</v>
      </c>
      <c r="BU296" s="272">
        <v>291.97429999999997</v>
      </c>
      <c r="BV296" s="333">
        <v>3466.7129799999998</v>
      </c>
      <c r="BX296" s="272">
        <v>65923.928</v>
      </c>
      <c r="BY296" s="469">
        <v>48.966999999999999</v>
      </c>
      <c r="BZ296" s="469">
        <v>-7244.2820000000002</v>
      </c>
      <c r="CA296" s="552"/>
      <c r="CB296" s="335">
        <v>9.4</v>
      </c>
      <c r="CC296" s="471">
        <f t="shared" si="4"/>
        <v>9.4</v>
      </c>
      <c r="CD296" s="558"/>
      <c r="CE296" s="272"/>
      <c r="CF296" s="262"/>
      <c r="CG296" s="260"/>
      <c r="CI296" s="158">
        <v>0</v>
      </c>
      <c r="CJ296" s="331">
        <v>11548.915867535556</v>
      </c>
      <c r="CK296" s="331">
        <v>10689.245705462388</v>
      </c>
      <c r="CL296" s="331">
        <v>12872.673231826142</v>
      </c>
      <c r="CM296" s="472">
        <v>13691.307360805069</v>
      </c>
      <c r="CN296" s="472">
        <v>13464.640441921028</v>
      </c>
      <c r="CO296" s="480">
        <v>-20.797999999999998</v>
      </c>
      <c r="CP296" s="557"/>
      <c r="CQ296" s="474">
        <v>0</v>
      </c>
      <c r="CR296" s="474">
        <v>0</v>
      </c>
    </row>
    <row r="297" spans="1:96" x14ac:dyDescent="0.2">
      <c r="C297" s="156"/>
      <c r="D297" s="169"/>
      <c r="E297" s="185"/>
      <c r="AP297" s="269"/>
      <c r="AQ297" s="446"/>
      <c r="BQ297" s="272"/>
      <c r="CA297" s="552"/>
      <c r="CB297" s="281"/>
      <c r="CC297" s="471"/>
      <c r="CD297" s="281"/>
      <c r="CE297" s="169"/>
      <c r="CF297" s="174"/>
      <c r="CH297" s="170"/>
      <c r="CI297" s="170"/>
      <c r="CJ297" s="473"/>
      <c r="CK297" s="260"/>
      <c r="CL297" s="260"/>
      <c r="CM297" s="260"/>
      <c r="CN297" s="260"/>
    </row>
    <row r="298" spans="1:96" x14ac:dyDescent="0.2">
      <c r="C298" s="156"/>
      <c r="BQ298" s="272"/>
      <c r="CD298" s="283"/>
      <c r="CK298" s="260"/>
      <c r="CL298" s="260"/>
      <c r="CM298" s="260"/>
      <c r="CN298" s="260"/>
    </row>
    <row r="299" spans="1:96" x14ac:dyDescent="0.2">
      <c r="C299" s="156"/>
      <c r="AJ299" s="175"/>
      <c r="BQ299" s="272"/>
      <c r="BV299" s="312"/>
      <c r="CK299" s="260"/>
      <c r="CL299" s="260"/>
      <c r="CM299" s="260"/>
      <c r="CN299" s="260"/>
    </row>
    <row r="300" spans="1:96" x14ac:dyDescent="0.2">
      <c r="C300" s="156"/>
      <c r="AJ300" s="175"/>
      <c r="BQ300" s="272"/>
      <c r="BV300" s="312"/>
      <c r="CK300" s="260"/>
      <c r="CL300" s="260"/>
      <c r="CM300" s="260"/>
      <c r="CN300" s="260"/>
    </row>
    <row r="301" spans="1:96" x14ac:dyDescent="0.2">
      <c r="BQ301" s="272"/>
    </row>
    <row r="302" spans="1:96" x14ac:dyDescent="0.2">
      <c r="BQ302" s="272"/>
    </row>
    <row r="303" spans="1:96" x14ac:dyDescent="0.2">
      <c r="BQ303" s="272"/>
    </row>
    <row r="304" spans="1:96" x14ac:dyDescent="0.2">
      <c r="BQ304" s="272"/>
    </row>
    <row r="305" spans="69:69" x14ac:dyDescent="0.2">
      <c r="BQ305" s="272"/>
    </row>
    <row r="306" spans="69:69" x14ac:dyDescent="0.2">
      <c r="BQ306" s="272"/>
    </row>
    <row r="307" spans="69:69" x14ac:dyDescent="0.2">
      <c r="BQ307" s="272"/>
    </row>
    <row r="308" spans="69:69" x14ac:dyDescent="0.2">
      <c r="BQ308" s="272"/>
    </row>
    <row r="309" spans="69:69" x14ac:dyDescent="0.2">
      <c r="BQ309" s="272"/>
    </row>
    <row r="310" spans="69:69" x14ac:dyDescent="0.2">
      <c r="BQ310" s="272"/>
    </row>
    <row r="311" spans="69:69" x14ac:dyDescent="0.2">
      <c r="BQ311" s="272"/>
    </row>
    <row r="312" spans="69:69" x14ac:dyDescent="0.2">
      <c r="BQ312" s="272"/>
    </row>
    <row r="313" spans="69:69" x14ac:dyDescent="0.2">
      <c r="BQ313" s="272"/>
    </row>
    <row r="314" spans="69:69" x14ac:dyDescent="0.2">
      <c r="BQ314" s="272"/>
    </row>
    <row r="315" spans="69:69" x14ac:dyDescent="0.2">
      <c r="BQ315" s="272"/>
    </row>
    <row r="316" spans="69:69" x14ac:dyDescent="0.2">
      <c r="BQ316" s="272"/>
    </row>
    <row r="317" spans="69:69" x14ac:dyDescent="0.2">
      <c r="BQ317" s="272"/>
    </row>
    <row r="318" spans="69:69" x14ac:dyDescent="0.2">
      <c r="BQ318" s="272"/>
    </row>
    <row r="319" spans="69:69" x14ac:dyDescent="0.2">
      <c r="BQ319" s="272"/>
    </row>
    <row r="320" spans="69:69" x14ac:dyDescent="0.2">
      <c r="BQ320" s="272"/>
    </row>
    <row r="321" spans="69:69" x14ac:dyDescent="0.2">
      <c r="BQ321" s="272"/>
    </row>
    <row r="322" spans="69:69" x14ac:dyDescent="0.2">
      <c r="BQ322" s="272"/>
    </row>
    <row r="323" spans="69:69" x14ac:dyDescent="0.2">
      <c r="BQ323" s="272"/>
    </row>
    <row r="324" spans="69:69" x14ac:dyDescent="0.2">
      <c r="BQ324" s="272"/>
    </row>
    <row r="325" spans="69:69" x14ac:dyDescent="0.2">
      <c r="BQ325" s="272"/>
    </row>
    <row r="326" spans="69:69" x14ac:dyDescent="0.2">
      <c r="BQ326" s="272"/>
    </row>
    <row r="327" spans="69:69" x14ac:dyDescent="0.2">
      <c r="BQ327" s="272"/>
    </row>
    <row r="328" spans="69:69" x14ac:dyDescent="0.2">
      <c r="BQ328" s="272"/>
    </row>
    <row r="329" spans="69:69" x14ac:dyDescent="0.2">
      <c r="BQ329" s="272"/>
    </row>
    <row r="330" spans="69:69" x14ac:dyDescent="0.2">
      <c r="BQ330" s="272"/>
    </row>
    <row r="331" spans="69:69" x14ac:dyDescent="0.2">
      <c r="BQ331" s="272"/>
    </row>
    <row r="332" spans="69:69" x14ac:dyDescent="0.2">
      <c r="BQ332" s="272"/>
    </row>
    <row r="333" spans="69:69" x14ac:dyDescent="0.2">
      <c r="BQ333" s="272"/>
    </row>
    <row r="334" spans="69:69" x14ac:dyDescent="0.2">
      <c r="BQ334" s="272"/>
    </row>
    <row r="335" spans="69:69" x14ac:dyDescent="0.2">
      <c r="BQ335" s="272"/>
    </row>
    <row r="336" spans="69:69" x14ac:dyDescent="0.2">
      <c r="BQ336" s="272"/>
    </row>
    <row r="337" spans="69:69" x14ac:dyDescent="0.2">
      <c r="BQ337" s="272"/>
    </row>
    <row r="338" spans="69:69" x14ac:dyDescent="0.2">
      <c r="BQ338" s="272"/>
    </row>
    <row r="339" spans="69:69" x14ac:dyDescent="0.2">
      <c r="BQ339" s="272"/>
    </row>
    <row r="340" spans="69:69" x14ac:dyDescent="0.2">
      <c r="BQ340" s="272"/>
    </row>
    <row r="341" spans="69:69" x14ac:dyDescent="0.2">
      <c r="BQ341" s="272"/>
    </row>
    <row r="342" spans="69:69" x14ac:dyDescent="0.2">
      <c r="BQ342" s="272"/>
    </row>
    <row r="343" spans="69:69" x14ac:dyDescent="0.2">
      <c r="BQ343" s="272"/>
    </row>
    <row r="344" spans="69:69" x14ac:dyDescent="0.2">
      <c r="BQ344" s="272"/>
    </row>
    <row r="345" spans="69:69" x14ac:dyDescent="0.2">
      <c r="BQ345" s="272"/>
    </row>
    <row r="346" spans="69:69" x14ac:dyDescent="0.2">
      <c r="BQ346" s="272"/>
    </row>
    <row r="347" spans="69:69" x14ac:dyDescent="0.2">
      <c r="BQ347" s="272"/>
    </row>
    <row r="348" spans="69:69" x14ac:dyDescent="0.2">
      <c r="BQ348" s="272"/>
    </row>
    <row r="349" spans="69:69" x14ac:dyDescent="0.2">
      <c r="BQ349" s="272"/>
    </row>
    <row r="350" spans="69:69" x14ac:dyDescent="0.2">
      <c r="BQ350" s="272"/>
    </row>
    <row r="351" spans="69:69" x14ac:dyDescent="0.2">
      <c r="BQ351" s="272"/>
    </row>
    <row r="352" spans="69:69" x14ac:dyDescent="0.2">
      <c r="BQ352" s="272"/>
    </row>
    <row r="353" spans="69:69" x14ac:dyDescent="0.2">
      <c r="BQ353" s="272"/>
    </row>
    <row r="354" spans="69:69" x14ac:dyDescent="0.2">
      <c r="BQ354" s="272"/>
    </row>
    <row r="355" spans="69:69" x14ac:dyDescent="0.2">
      <c r="BQ355" s="272"/>
    </row>
    <row r="356" spans="69:69" x14ac:dyDescent="0.2">
      <c r="BQ356" s="272"/>
    </row>
    <row r="357" spans="69:69" x14ac:dyDescent="0.2">
      <c r="BQ357" s="272"/>
    </row>
    <row r="358" spans="69:69" x14ac:dyDescent="0.2">
      <c r="BQ358" s="272"/>
    </row>
    <row r="359" spans="69:69" x14ac:dyDescent="0.2">
      <c r="BQ359" s="272"/>
    </row>
    <row r="360" spans="69:69" x14ac:dyDescent="0.2">
      <c r="BQ360" s="272"/>
    </row>
    <row r="361" spans="69:69" x14ac:dyDescent="0.2">
      <c r="BQ361" s="272"/>
    </row>
    <row r="362" spans="69:69" x14ac:dyDescent="0.2">
      <c r="BQ362" s="272"/>
    </row>
    <row r="363" spans="69:69" x14ac:dyDescent="0.2">
      <c r="BQ363" s="272"/>
    </row>
    <row r="364" spans="69:69" x14ac:dyDescent="0.2">
      <c r="BQ364" s="272"/>
    </row>
    <row r="365" spans="69:69" x14ac:dyDescent="0.2">
      <c r="BQ365" s="272"/>
    </row>
    <row r="366" spans="69:69" x14ac:dyDescent="0.2">
      <c r="BQ366" s="272"/>
    </row>
    <row r="367" spans="69:69" x14ac:dyDescent="0.2">
      <c r="BQ367" s="272"/>
    </row>
    <row r="368" spans="69:69" x14ac:dyDescent="0.2">
      <c r="BQ368" s="272"/>
    </row>
    <row r="369" spans="69:69" x14ac:dyDescent="0.2">
      <c r="BQ369" s="272"/>
    </row>
    <row r="370" spans="69:69" x14ac:dyDescent="0.2">
      <c r="BQ370" s="272"/>
    </row>
    <row r="371" spans="69:69" x14ac:dyDescent="0.2">
      <c r="BQ371" s="272"/>
    </row>
    <row r="372" spans="69:69" x14ac:dyDescent="0.2">
      <c r="BQ372" s="272"/>
    </row>
    <row r="373" spans="69:69" x14ac:dyDescent="0.2">
      <c r="BQ373" s="272"/>
    </row>
    <row r="374" spans="69:69" x14ac:dyDescent="0.2">
      <c r="BQ374" s="272"/>
    </row>
    <row r="375" spans="69:69" x14ac:dyDescent="0.2">
      <c r="BQ375" s="272"/>
    </row>
    <row r="376" spans="69:69" x14ac:dyDescent="0.2">
      <c r="BQ376" s="272"/>
    </row>
    <row r="377" spans="69:69" x14ac:dyDescent="0.2">
      <c r="BQ377" s="272"/>
    </row>
    <row r="378" spans="69:69" x14ac:dyDescent="0.2">
      <c r="BQ378" s="272"/>
    </row>
    <row r="379" spans="69:69" x14ac:dyDescent="0.2">
      <c r="BQ379" s="272"/>
    </row>
    <row r="380" spans="69:69" x14ac:dyDescent="0.2">
      <c r="BQ380" s="272"/>
    </row>
    <row r="381" spans="69:69" x14ac:dyDescent="0.2">
      <c r="BQ381" s="272"/>
    </row>
    <row r="382" spans="69:69" x14ac:dyDescent="0.2">
      <c r="BQ382" s="272"/>
    </row>
    <row r="383" spans="69:69" x14ac:dyDescent="0.2">
      <c r="BQ383" s="272"/>
    </row>
    <row r="384" spans="69:69" x14ac:dyDescent="0.2">
      <c r="BQ384" s="272"/>
    </row>
    <row r="385" spans="69:69" x14ac:dyDescent="0.2">
      <c r="BQ385" s="272"/>
    </row>
    <row r="386" spans="69:69" x14ac:dyDescent="0.2">
      <c r="BQ386" s="272"/>
    </row>
    <row r="387" spans="69:69" x14ac:dyDescent="0.2">
      <c r="BQ387" s="272"/>
    </row>
    <row r="388" spans="69:69" x14ac:dyDescent="0.2">
      <c r="BQ388" s="272"/>
    </row>
    <row r="389" spans="69:69" x14ac:dyDescent="0.2">
      <c r="BQ389" s="272"/>
    </row>
    <row r="390" spans="69:69" x14ac:dyDescent="0.2">
      <c r="BQ390" s="272"/>
    </row>
    <row r="391" spans="69:69" x14ac:dyDescent="0.2">
      <c r="BQ391" s="272"/>
    </row>
    <row r="392" spans="69:69" x14ac:dyDescent="0.2">
      <c r="BQ392" s="272"/>
    </row>
    <row r="393" spans="69:69" x14ac:dyDescent="0.2">
      <c r="BQ393" s="272"/>
    </row>
    <row r="394" spans="69:69" x14ac:dyDescent="0.2">
      <c r="BQ394" s="272"/>
    </row>
    <row r="395" spans="69:69" x14ac:dyDescent="0.2">
      <c r="BQ395" s="272"/>
    </row>
    <row r="396" spans="69:69" x14ac:dyDescent="0.2">
      <c r="BQ396" s="272"/>
    </row>
    <row r="397" spans="69:69" x14ac:dyDescent="0.2">
      <c r="BQ397" s="272"/>
    </row>
    <row r="398" spans="69:69" x14ac:dyDescent="0.2">
      <c r="BQ398" s="272"/>
    </row>
    <row r="399" spans="69:69" x14ac:dyDescent="0.2">
      <c r="BQ399" s="272"/>
    </row>
    <row r="400" spans="69:69" x14ac:dyDescent="0.2">
      <c r="BQ400" s="272"/>
    </row>
    <row r="401" spans="69:69" x14ac:dyDescent="0.2">
      <c r="BQ401" s="272"/>
    </row>
    <row r="402" spans="69:69" x14ac:dyDescent="0.2">
      <c r="BQ402" s="272"/>
    </row>
    <row r="403" spans="69:69" x14ac:dyDescent="0.2">
      <c r="BQ403" s="272"/>
    </row>
    <row r="404" spans="69:69" x14ac:dyDescent="0.2">
      <c r="BQ404" s="272"/>
    </row>
    <row r="405" spans="69:69" x14ac:dyDescent="0.2">
      <c r="BQ405" s="272"/>
    </row>
    <row r="406" spans="69:69" x14ac:dyDescent="0.2">
      <c r="BQ406" s="272"/>
    </row>
    <row r="407" spans="69:69" x14ac:dyDescent="0.2">
      <c r="BQ407" s="272"/>
    </row>
    <row r="408" spans="69:69" x14ac:dyDescent="0.2">
      <c r="BQ408" s="272"/>
    </row>
    <row r="409" spans="69:69" x14ac:dyDescent="0.2">
      <c r="BQ409" s="272"/>
    </row>
    <row r="410" spans="69:69" x14ac:dyDescent="0.2">
      <c r="BQ410" s="272"/>
    </row>
    <row r="411" spans="69:69" x14ac:dyDescent="0.2">
      <c r="BQ411" s="272"/>
    </row>
    <row r="412" spans="69:69" x14ac:dyDescent="0.2">
      <c r="BQ412" s="272"/>
    </row>
    <row r="413" spans="69:69" x14ac:dyDescent="0.2">
      <c r="BQ413" s="272"/>
    </row>
    <row r="414" spans="69:69" x14ac:dyDescent="0.2">
      <c r="BQ414" s="272"/>
    </row>
    <row r="415" spans="69:69" x14ac:dyDescent="0.2">
      <c r="BQ415" s="272"/>
    </row>
    <row r="416" spans="69:69" x14ac:dyDescent="0.2">
      <c r="BQ416" s="272"/>
    </row>
    <row r="417" spans="69:69" x14ac:dyDescent="0.2">
      <c r="BQ417" s="272"/>
    </row>
    <row r="418" spans="69:69" x14ac:dyDescent="0.2">
      <c r="BQ418" s="272"/>
    </row>
    <row r="419" spans="69:69" x14ac:dyDescent="0.2">
      <c r="BQ419" s="272"/>
    </row>
    <row r="420" spans="69:69" x14ac:dyDescent="0.2">
      <c r="BQ420" s="272"/>
    </row>
    <row r="421" spans="69:69" x14ac:dyDescent="0.2">
      <c r="BQ421" s="272"/>
    </row>
    <row r="422" spans="69:69" x14ac:dyDescent="0.2">
      <c r="BQ422" s="272"/>
    </row>
    <row r="423" spans="69:69" x14ac:dyDescent="0.2">
      <c r="BQ423" s="272"/>
    </row>
    <row r="424" spans="69:69" x14ac:dyDescent="0.2">
      <c r="BQ424" s="272"/>
    </row>
    <row r="425" spans="69:69" x14ac:dyDescent="0.2">
      <c r="BQ425" s="272"/>
    </row>
    <row r="426" spans="69:69" x14ac:dyDescent="0.2">
      <c r="BQ426" s="272"/>
    </row>
    <row r="427" spans="69:69" x14ac:dyDescent="0.2">
      <c r="BQ427" s="272"/>
    </row>
    <row r="428" spans="69:69" x14ac:dyDescent="0.2">
      <c r="BQ428" s="272"/>
    </row>
    <row r="429" spans="69:69" x14ac:dyDescent="0.2">
      <c r="BQ429" s="272"/>
    </row>
    <row r="430" spans="69:69" x14ac:dyDescent="0.2">
      <c r="BQ430" s="272"/>
    </row>
    <row r="431" spans="69:69" x14ac:dyDescent="0.2">
      <c r="BQ431" s="272"/>
    </row>
    <row r="432" spans="69:69" x14ac:dyDescent="0.2">
      <c r="BQ432" s="272"/>
    </row>
    <row r="433" spans="69:69" x14ac:dyDescent="0.2">
      <c r="BQ433" s="272"/>
    </row>
    <row r="434" spans="69:69" x14ac:dyDescent="0.2">
      <c r="BQ434" s="272"/>
    </row>
    <row r="435" spans="69:69" x14ac:dyDescent="0.2">
      <c r="BQ435" s="272"/>
    </row>
    <row r="436" spans="69:69" x14ac:dyDescent="0.2">
      <c r="BQ436" s="272"/>
    </row>
    <row r="437" spans="69:69" x14ac:dyDescent="0.2">
      <c r="BQ437" s="272"/>
    </row>
    <row r="438" spans="69:69" x14ac:dyDescent="0.2">
      <c r="BQ438" s="272"/>
    </row>
    <row r="439" spans="69:69" x14ac:dyDescent="0.2">
      <c r="BQ439" s="272"/>
    </row>
    <row r="440" spans="69:69" x14ac:dyDescent="0.2">
      <c r="BQ440" s="272"/>
    </row>
    <row r="441" spans="69:69" x14ac:dyDescent="0.2">
      <c r="BQ441" s="272"/>
    </row>
    <row r="442" spans="69:69" x14ac:dyDescent="0.2">
      <c r="BQ442" s="272"/>
    </row>
    <row r="443" spans="69:69" x14ac:dyDescent="0.2">
      <c r="BQ443" s="272"/>
    </row>
    <row r="444" spans="69:69" x14ac:dyDescent="0.2">
      <c r="BQ444" s="272"/>
    </row>
    <row r="445" spans="69:69" x14ac:dyDescent="0.2">
      <c r="BQ445" s="272"/>
    </row>
    <row r="446" spans="69:69" x14ac:dyDescent="0.2">
      <c r="BQ446" s="272"/>
    </row>
    <row r="447" spans="69:69" x14ac:dyDescent="0.2">
      <c r="BQ447" s="272"/>
    </row>
    <row r="448" spans="69:69" x14ac:dyDescent="0.2">
      <c r="BQ448" s="272"/>
    </row>
    <row r="449" spans="69:69" x14ac:dyDescent="0.2">
      <c r="BQ449" s="272"/>
    </row>
    <row r="450" spans="69:69" x14ac:dyDescent="0.2">
      <c r="BQ450" s="272"/>
    </row>
    <row r="451" spans="69:69" x14ac:dyDescent="0.2">
      <c r="BQ451" s="272"/>
    </row>
    <row r="452" spans="69:69" x14ac:dyDescent="0.2">
      <c r="BQ452" s="272"/>
    </row>
    <row r="453" spans="69:69" x14ac:dyDescent="0.2">
      <c r="BQ453" s="272"/>
    </row>
    <row r="454" spans="69:69" x14ac:dyDescent="0.2">
      <c r="BQ454" s="272"/>
    </row>
    <row r="455" spans="69:69" x14ac:dyDescent="0.2">
      <c r="BQ455" s="272"/>
    </row>
    <row r="456" spans="69:69" x14ac:dyDescent="0.2">
      <c r="BQ456" s="272"/>
    </row>
    <row r="457" spans="69:69" x14ac:dyDescent="0.2">
      <c r="BQ457" s="272"/>
    </row>
    <row r="458" spans="69:69" x14ac:dyDescent="0.2">
      <c r="BQ458" s="272"/>
    </row>
    <row r="459" spans="69:69" x14ac:dyDescent="0.2">
      <c r="BQ459" s="272"/>
    </row>
    <row r="460" spans="69:69" x14ac:dyDescent="0.2">
      <c r="BQ460" s="272"/>
    </row>
    <row r="461" spans="69:69" x14ac:dyDescent="0.2">
      <c r="BQ461" s="272"/>
    </row>
    <row r="462" spans="69:69" x14ac:dyDescent="0.2">
      <c r="BQ462" s="272"/>
    </row>
    <row r="463" spans="69:69" x14ac:dyDescent="0.2">
      <c r="BQ463" s="272"/>
    </row>
    <row r="464" spans="69:69" x14ac:dyDescent="0.2">
      <c r="BQ464" s="272"/>
    </row>
    <row r="465" spans="69:69" x14ac:dyDescent="0.2">
      <c r="BQ465" s="272"/>
    </row>
    <row r="466" spans="69:69" x14ac:dyDescent="0.2">
      <c r="BQ466" s="272"/>
    </row>
    <row r="467" spans="69:69" x14ac:dyDescent="0.2">
      <c r="BQ467" s="272"/>
    </row>
    <row r="468" spans="69:69" x14ac:dyDescent="0.2">
      <c r="BQ468" s="272"/>
    </row>
    <row r="469" spans="69:69" x14ac:dyDescent="0.2">
      <c r="BQ469" s="272"/>
    </row>
    <row r="470" spans="69:69" x14ac:dyDescent="0.2">
      <c r="BQ470" s="272"/>
    </row>
    <row r="471" spans="69:69" x14ac:dyDescent="0.2">
      <c r="BQ471" s="272"/>
    </row>
    <row r="472" spans="69:69" x14ac:dyDescent="0.2">
      <c r="BQ472" s="272"/>
    </row>
    <row r="473" spans="69:69" x14ac:dyDescent="0.2">
      <c r="BQ473" s="272"/>
    </row>
    <row r="474" spans="69:69" x14ac:dyDescent="0.2">
      <c r="BQ474" s="272"/>
    </row>
    <row r="475" spans="69:69" x14ac:dyDescent="0.2">
      <c r="BQ475" s="272"/>
    </row>
    <row r="476" spans="69:69" x14ac:dyDescent="0.2">
      <c r="BQ476" s="272"/>
    </row>
    <row r="477" spans="69:69" x14ac:dyDescent="0.2">
      <c r="BQ477" s="272"/>
    </row>
    <row r="478" spans="69:69" x14ac:dyDescent="0.2">
      <c r="BQ478" s="272"/>
    </row>
    <row r="479" spans="69:69" x14ac:dyDescent="0.2">
      <c r="BQ479" s="272"/>
    </row>
    <row r="480" spans="69:69" x14ac:dyDescent="0.2">
      <c r="BQ480" s="272"/>
    </row>
    <row r="481" spans="69:69" x14ac:dyDescent="0.2">
      <c r="BQ481" s="272"/>
    </row>
    <row r="482" spans="69:69" x14ac:dyDescent="0.2">
      <c r="BQ482" s="272"/>
    </row>
    <row r="483" spans="69:69" x14ac:dyDescent="0.2">
      <c r="BQ483" s="272"/>
    </row>
    <row r="484" spans="69:69" x14ac:dyDescent="0.2">
      <c r="BQ484" s="272"/>
    </row>
    <row r="485" spans="69:69" x14ac:dyDescent="0.2">
      <c r="BQ485" s="272"/>
    </row>
    <row r="486" spans="69:69" x14ac:dyDescent="0.2">
      <c r="BQ486" s="272"/>
    </row>
    <row r="487" spans="69:69" x14ac:dyDescent="0.2">
      <c r="BQ487" s="272"/>
    </row>
    <row r="488" spans="69:69" x14ac:dyDescent="0.2">
      <c r="BQ488" s="272"/>
    </row>
    <row r="489" spans="69:69" x14ac:dyDescent="0.2">
      <c r="BQ489" s="272"/>
    </row>
    <row r="490" spans="69:69" x14ac:dyDescent="0.2">
      <c r="BQ490" s="272"/>
    </row>
    <row r="491" spans="69:69" x14ac:dyDescent="0.2">
      <c r="BQ491" s="272"/>
    </row>
    <row r="492" spans="69:69" x14ac:dyDescent="0.2">
      <c r="BQ492" s="272"/>
    </row>
    <row r="493" spans="69:69" x14ac:dyDescent="0.2">
      <c r="BQ493" s="272"/>
    </row>
    <row r="494" spans="69:69" x14ac:dyDescent="0.2">
      <c r="BQ494" s="272"/>
    </row>
    <row r="495" spans="69:69" x14ac:dyDescent="0.2">
      <c r="BQ495" s="272"/>
    </row>
    <row r="496" spans="69:69" x14ac:dyDescent="0.2">
      <c r="BQ496" s="272"/>
    </row>
    <row r="497" spans="69:69" x14ac:dyDescent="0.2">
      <c r="BQ497" s="272"/>
    </row>
    <row r="498" spans="69:69" x14ac:dyDescent="0.2">
      <c r="BQ498" s="272"/>
    </row>
    <row r="499" spans="69:69" x14ac:dyDescent="0.2">
      <c r="BQ499" s="272"/>
    </row>
    <row r="500" spans="69:69" x14ac:dyDescent="0.2">
      <c r="BQ500" s="272"/>
    </row>
    <row r="501" spans="69:69" x14ac:dyDescent="0.2">
      <c r="BQ501" s="272"/>
    </row>
    <row r="502" spans="69:69" x14ac:dyDescent="0.2">
      <c r="BQ502" s="272"/>
    </row>
    <row r="503" spans="69:69" x14ac:dyDescent="0.2">
      <c r="BQ503" s="272"/>
    </row>
    <row r="504" spans="69:69" x14ac:dyDescent="0.2">
      <c r="BQ504" s="272"/>
    </row>
    <row r="505" spans="69:69" x14ac:dyDescent="0.2">
      <c r="BQ505" s="272"/>
    </row>
    <row r="506" spans="69:69" x14ac:dyDescent="0.2">
      <c r="BQ506" s="272"/>
    </row>
    <row r="507" spans="69:69" x14ac:dyDescent="0.2">
      <c r="BQ507" s="272"/>
    </row>
    <row r="508" spans="69:69" x14ac:dyDescent="0.2">
      <c r="BQ508" s="272"/>
    </row>
    <row r="509" spans="69:69" x14ac:dyDescent="0.2">
      <c r="BQ509" s="272"/>
    </row>
    <row r="510" spans="69:69" x14ac:dyDescent="0.2">
      <c r="BQ510" s="272"/>
    </row>
    <row r="511" spans="69:69" x14ac:dyDescent="0.2">
      <c r="BQ511" s="272"/>
    </row>
    <row r="512" spans="69:69" x14ac:dyDescent="0.2">
      <c r="BQ512" s="272"/>
    </row>
    <row r="513" spans="69:69" x14ac:dyDescent="0.2">
      <c r="BQ513" s="272"/>
    </row>
    <row r="514" spans="69:69" x14ac:dyDescent="0.2">
      <c r="BQ514" s="272"/>
    </row>
    <row r="515" spans="69:69" x14ac:dyDescent="0.2">
      <c r="BQ515" s="272"/>
    </row>
    <row r="516" spans="69:69" x14ac:dyDescent="0.2">
      <c r="BQ516" s="272"/>
    </row>
    <row r="517" spans="69:69" x14ac:dyDescent="0.2">
      <c r="BQ517" s="272"/>
    </row>
    <row r="518" spans="69:69" x14ac:dyDescent="0.2">
      <c r="BQ518" s="272"/>
    </row>
    <row r="519" spans="69:69" x14ac:dyDescent="0.2">
      <c r="BQ519" s="272"/>
    </row>
    <row r="520" spans="69:69" x14ac:dyDescent="0.2">
      <c r="BQ520" s="272"/>
    </row>
    <row r="521" spans="69:69" x14ac:dyDescent="0.2">
      <c r="BQ521" s="272"/>
    </row>
    <row r="522" spans="69:69" x14ac:dyDescent="0.2">
      <c r="BQ522" s="272"/>
    </row>
    <row r="523" spans="69:69" x14ac:dyDescent="0.2">
      <c r="BQ523" s="272"/>
    </row>
    <row r="524" spans="69:69" x14ac:dyDescent="0.2">
      <c r="BQ524" s="272"/>
    </row>
    <row r="525" spans="69:69" x14ac:dyDescent="0.2">
      <c r="BQ525" s="272"/>
    </row>
    <row r="526" spans="69:69" x14ac:dyDescent="0.2">
      <c r="BQ526" s="272"/>
    </row>
    <row r="527" spans="69:69" x14ac:dyDescent="0.2">
      <c r="BQ527" s="272"/>
    </row>
    <row r="528" spans="69:69" x14ac:dyDescent="0.2">
      <c r="BQ528" s="272"/>
    </row>
    <row r="529" spans="69:69" x14ac:dyDescent="0.2">
      <c r="BQ529" s="272"/>
    </row>
    <row r="530" spans="69:69" x14ac:dyDescent="0.2">
      <c r="BQ530" s="272"/>
    </row>
    <row r="531" spans="69:69" x14ac:dyDescent="0.2">
      <c r="BQ531" s="272"/>
    </row>
    <row r="532" spans="69:69" x14ac:dyDescent="0.2">
      <c r="BQ532" s="272"/>
    </row>
    <row r="533" spans="69:69" x14ac:dyDescent="0.2">
      <c r="BQ533" s="272"/>
    </row>
    <row r="534" spans="69:69" x14ac:dyDescent="0.2">
      <c r="BQ534" s="272"/>
    </row>
    <row r="535" spans="69:69" x14ac:dyDescent="0.2">
      <c r="BQ535" s="272"/>
    </row>
    <row r="536" spans="69:69" x14ac:dyDescent="0.2">
      <c r="BQ536" s="272"/>
    </row>
    <row r="537" spans="69:69" x14ac:dyDescent="0.2">
      <c r="BQ537" s="272"/>
    </row>
    <row r="538" spans="69:69" x14ac:dyDescent="0.2">
      <c r="BQ538" s="272"/>
    </row>
    <row r="539" spans="69:69" x14ac:dyDescent="0.2">
      <c r="BQ539" s="272"/>
    </row>
    <row r="540" spans="69:69" x14ac:dyDescent="0.2">
      <c r="BQ540" s="272"/>
    </row>
    <row r="541" spans="69:69" x14ac:dyDescent="0.2">
      <c r="BQ541" s="272"/>
    </row>
    <row r="542" spans="69:69" x14ac:dyDescent="0.2">
      <c r="BQ542" s="272"/>
    </row>
    <row r="543" spans="69:69" x14ac:dyDescent="0.2">
      <c r="BQ543" s="272"/>
    </row>
    <row r="544" spans="69:69" x14ac:dyDescent="0.2">
      <c r="BQ544" s="272"/>
    </row>
    <row r="545" spans="69:69" x14ac:dyDescent="0.2">
      <c r="BQ545" s="272"/>
    </row>
    <row r="546" spans="69:69" x14ac:dyDescent="0.2">
      <c r="BQ546" s="272"/>
    </row>
  </sheetData>
  <sortState xmlns:xlrd2="http://schemas.microsoft.com/office/spreadsheetml/2017/richdata2" ref="A3:DC304">
    <sortCondition ref="B3:B304"/>
  </sortState>
  <phoneticPr fontId="0" type="noConversion"/>
  <pageMargins left="0.75" right="0.75" top="1" bottom="1" header="0.4921259845" footer="0.492125984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304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U9" sqref="U9"/>
    </sheetView>
  </sheetViews>
  <sheetFormatPr defaultColWidth="9.33203125" defaultRowHeight="11.25" x14ac:dyDescent="0.2"/>
  <cols>
    <col min="1" max="1" width="14.5" style="156" customWidth="1"/>
    <col min="2" max="2" width="9.33203125" style="156" bestFit="1" customWidth="1"/>
    <col min="3" max="3" width="9.33203125" style="267" bestFit="1" customWidth="1"/>
    <col min="4" max="4" width="9.33203125" style="156" bestFit="1" customWidth="1"/>
    <col min="5" max="5" width="9.1640625" style="156" bestFit="1" customWidth="1"/>
    <col min="6" max="8" width="9.1640625" style="262" bestFit="1" customWidth="1"/>
    <col min="9" max="10" width="9.5" style="156" bestFit="1" customWidth="1"/>
    <col min="11" max="11" width="9.33203125" style="156"/>
    <col min="12" max="15" width="9.33203125" style="562"/>
    <col min="16" max="16" width="9.33203125" style="260"/>
    <col min="17" max="17" width="9.33203125" style="146"/>
    <col min="18" max="28" width="9.33203125" style="348"/>
    <col min="29" max="16384" width="9.33203125" style="146"/>
  </cols>
  <sheetData>
    <row r="1" spans="1:28" ht="12.75" x14ac:dyDescent="0.2">
      <c r="A1" s="178" t="s">
        <v>470</v>
      </c>
      <c r="E1" s="263"/>
      <c r="F1" s="278"/>
      <c r="G1" s="278"/>
      <c r="H1" s="278"/>
      <c r="I1" s="263"/>
      <c r="J1" s="263"/>
      <c r="K1" s="263"/>
    </row>
    <row r="2" spans="1:28" ht="12.75" x14ac:dyDescent="0.2">
      <c r="A2" s="179" t="s">
        <v>467</v>
      </c>
      <c r="E2" s="263"/>
      <c r="F2" s="278"/>
      <c r="G2" s="278"/>
      <c r="H2" s="278"/>
      <c r="I2" s="263"/>
      <c r="J2" s="263"/>
      <c r="K2" s="263"/>
    </row>
    <row r="3" spans="1:28" x14ac:dyDescent="0.2">
      <c r="A3" s="255" t="s">
        <v>466</v>
      </c>
      <c r="B3" s="182">
        <v>2</v>
      </c>
      <c r="C3" s="182">
        <v>3</v>
      </c>
      <c r="D3" s="182">
        <v>4</v>
      </c>
      <c r="E3" s="182">
        <v>5</v>
      </c>
      <c r="F3" s="182">
        <v>6</v>
      </c>
      <c r="G3" s="182">
        <v>7</v>
      </c>
      <c r="H3" s="182">
        <v>8</v>
      </c>
      <c r="I3" s="182">
        <v>9</v>
      </c>
      <c r="J3" s="182">
        <v>10</v>
      </c>
      <c r="K3" s="182">
        <v>11</v>
      </c>
      <c r="L3" s="563">
        <v>12</v>
      </c>
      <c r="M3" s="563">
        <v>13</v>
      </c>
      <c r="N3" s="563">
        <v>14</v>
      </c>
      <c r="O3" s="563">
        <v>15</v>
      </c>
    </row>
    <row r="4" spans="1:28" x14ac:dyDescent="0.2">
      <c r="E4" s="263"/>
      <c r="F4" s="278"/>
      <c r="G4" s="278"/>
      <c r="H4" s="278"/>
      <c r="I4" s="263"/>
      <c r="J4" s="263"/>
      <c r="K4" s="263"/>
    </row>
    <row r="5" spans="1:28" x14ac:dyDescent="0.2">
      <c r="B5" s="285">
        <v>2021</v>
      </c>
      <c r="C5" s="285">
        <v>2022</v>
      </c>
      <c r="D5" s="285">
        <v>2023</v>
      </c>
      <c r="E5" s="322">
        <v>2024</v>
      </c>
      <c r="F5" s="322">
        <v>2025</v>
      </c>
      <c r="G5" s="322">
        <v>2026</v>
      </c>
      <c r="H5" s="322">
        <v>2027</v>
      </c>
      <c r="I5" s="322">
        <v>2028</v>
      </c>
      <c r="J5" s="322">
        <v>2029</v>
      </c>
      <c r="K5" s="346">
        <v>2030</v>
      </c>
      <c r="L5" s="322">
        <v>2031</v>
      </c>
      <c r="M5" s="346">
        <v>2032</v>
      </c>
      <c r="N5" s="322">
        <v>2033</v>
      </c>
      <c r="O5" s="346">
        <v>2034</v>
      </c>
    </row>
    <row r="6" spans="1:28" x14ac:dyDescent="0.2">
      <c r="A6" s="180"/>
      <c r="B6" s="181"/>
      <c r="C6" s="349"/>
      <c r="D6" s="181"/>
      <c r="E6" s="264"/>
      <c r="F6" s="264"/>
      <c r="G6" s="278"/>
      <c r="H6" s="264"/>
      <c r="I6" s="263"/>
      <c r="J6" s="263"/>
      <c r="K6" s="263"/>
    </row>
    <row r="7" spans="1:28" x14ac:dyDescent="0.2">
      <c r="E7" s="263"/>
      <c r="F7" s="278"/>
      <c r="G7" s="278"/>
      <c r="H7" s="278"/>
      <c r="I7" s="263"/>
      <c r="J7" s="263"/>
      <c r="K7" s="263"/>
    </row>
    <row r="8" spans="1:28" s="268" customFormat="1" x14ac:dyDescent="0.2">
      <c r="A8" s="265" t="s">
        <v>318</v>
      </c>
      <c r="B8" s="323">
        <v>16229</v>
      </c>
      <c r="C8" s="323">
        <v>16473</v>
      </c>
      <c r="D8" s="323">
        <v>16405</v>
      </c>
      <c r="E8" s="320">
        <v>16387</v>
      </c>
      <c r="F8" s="324">
        <v>16348.967507481831</v>
      </c>
      <c r="G8" s="325">
        <v>16312.936725096195</v>
      </c>
      <c r="H8" s="325">
        <v>16281.910218041898</v>
      </c>
      <c r="I8" s="325">
        <v>16254.887131252672</v>
      </c>
      <c r="J8" s="325">
        <v>16235.870884993587</v>
      </c>
      <c r="K8" s="325">
        <v>16219.857203933305</v>
      </c>
      <c r="L8" s="324">
        <v>16208.847798204361</v>
      </c>
      <c r="M8" s="324">
        <v>16205.845233005557</v>
      </c>
      <c r="N8" s="324">
        <v>16208.847798204359</v>
      </c>
      <c r="O8" s="324">
        <v>16218.856348867033</v>
      </c>
      <c r="P8" s="260">
        <v>20</v>
      </c>
      <c r="Q8" s="260" t="s">
        <v>318</v>
      </c>
      <c r="R8" s="348"/>
      <c r="S8" s="348"/>
      <c r="T8" s="348"/>
      <c r="U8" s="348"/>
      <c r="V8" s="348"/>
      <c r="W8" s="348"/>
      <c r="X8" s="348"/>
      <c r="Y8" s="348"/>
      <c r="Z8" s="430"/>
      <c r="AA8" s="348"/>
      <c r="AB8" s="348"/>
    </row>
    <row r="9" spans="1:28" x14ac:dyDescent="0.2">
      <c r="A9" s="154" t="s">
        <v>38</v>
      </c>
      <c r="B9" s="342">
        <v>9363</v>
      </c>
      <c r="C9" s="342">
        <v>9183</v>
      </c>
      <c r="D9" s="342">
        <v>9113</v>
      </c>
      <c r="E9" s="319">
        <v>9078</v>
      </c>
      <c r="F9" s="324">
        <v>8965.1296625222021</v>
      </c>
      <c r="G9" s="325">
        <v>8849.2360124333918</v>
      </c>
      <c r="H9" s="325">
        <v>8731.3268206039065</v>
      </c>
      <c r="I9" s="325">
        <v>8620.4720248667836</v>
      </c>
      <c r="J9" s="325">
        <v>8513.6483126110106</v>
      </c>
      <c r="K9" s="325">
        <v>8414.8867673179375</v>
      </c>
      <c r="L9" s="324">
        <v>8319.1485346358768</v>
      </c>
      <c r="M9" s="324">
        <v>8234.4957815275284</v>
      </c>
      <c r="N9" s="324">
        <v>8152.8663410301924</v>
      </c>
      <c r="O9" s="324">
        <v>8076.2757548845439</v>
      </c>
      <c r="P9" s="260">
        <v>5</v>
      </c>
      <c r="Q9" s="260" t="s">
        <v>38</v>
      </c>
      <c r="Z9" s="430"/>
    </row>
    <row r="10" spans="1:28" x14ac:dyDescent="0.2">
      <c r="A10" s="154" t="s">
        <v>39</v>
      </c>
      <c r="B10" s="342">
        <v>2461</v>
      </c>
      <c r="C10" s="342">
        <v>2447</v>
      </c>
      <c r="D10" s="342">
        <v>2437</v>
      </c>
      <c r="E10" s="319">
        <v>2410</v>
      </c>
      <c r="F10" s="324">
        <v>2380.95178719867</v>
      </c>
      <c r="G10" s="325">
        <v>2352.9052369077308</v>
      </c>
      <c r="H10" s="325">
        <v>2328.865336658354</v>
      </c>
      <c r="I10" s="325">
        <v>2303.8237738985868</v>
      </c>
      <c r="J10" s="325">
        <v>2282.7888611803824</v>
      </c>
      <c r="K10" s="325">
        <v>2261.753948462178</v>
      </c>
      <c r="L10" s="324">
        <v>2242.7223607647547</v>
      </c>
      <c r="M10" s="324">
        <v>2224.6924355777223</v>
      </c>
      <c r="N10" s="324">
        <v>2208.6658354114711</v>
      </c>
      <c r="O10" s="324">
        <v>2193.6408977556107</v>
      </c>
      <c r="P10" s="260">
        <v>9</v>
      </c>
      <c r="Q10" s="260" t="s">
        <v>39</v>
      </c>
      <c r="Z10" s="430"/>
    </row>
    <row r="11" spans="1:28" x14ac:dyDescent="0.2">
      <c r="A11" s="154" t="s">
        <v>40</v>
      </c>
      <c r="B11" s="342">
        <v>11118</v>
      </c>
      <c r="C11" s="342">
        <v>11102</v>
      </c>
      <c r="D11" s="342">
        <v>10933</v>
      </c>
      <c r="E11" s="319">
        <v>10780</v>
      </c>
      <c r="F11" s="324">
        <v>10649.266802443992</v>
      </c>
      <c r="G11" s="325">
        <v>10523.523421588594</v>
      </c>
      <c r="H11" s="325">
        <v>10399.775967413441</v>
      </c>
      <c r="I11" s="325">
        <v>10281.018329938899</v>
      </c>
      <c r="J11" s="325">
        <v>10168.248472505091</v>
      </c>
      <c r="K11" s="325">
        <v>10059.470468431771</v>
      </c>
      <c r="L11" s="324">
        <v>9954.6843177189403</v>
      </c>
      <c r="M11" s="324">
        <v>9852.8920570264763</v>
      </c>
      <c r="N11" s="324">
        <v>9757.0875763747463</v>
      </c>
      <c r="O11" s="324">
        <v>9664.2769857433814</v>
      </c>
      <c r="P11" s="260">
        <v>10</v>
      </c>
      <c r="Q11" s="260" t="s">
        <v>40</v>
      </c>
      <c r="Z11" s="430"/>
    </row>
    <row r="12" spans="1:28" x14ac:dyDescent="0.2">
      <c r="A12" s="154" t="s">
        <v>41</v>
      </c>
      <c r="B12" s="342">
        <v>7980</v>
      </c>
      <c r="C12" s="342">
        <v>8014</v>
      </c>
      <c r="D12" s="342">
        <v>7968</v>
      </c>
      <c r="E12" s="319">
        <v>7889</v>
      </c>
      <c r="F12" s="324">
        <v>7850.2602618987657</v>
      </c>
      <c r="G12" s="325">
        <v>7807.5472173256103</v>
      </c>
      <c r="H12" s="325">
        <v>7763.8408461344743</v>
      </c>
      <c r="I12" s="325">
        <v>7725.1011080332401</v>
      </c>
      <c r="J12" s="325">
        <v>7690.334676403927</v>
      </c>
      <c r="K12" s="325">
        <v>7656.5615713925945</v>
      </c>
      <c r="L12" s="324">
        <v>7627.7550994711646</v>
      </c>
      <c r="M12" s="324">
        <v>7599.9419541677144</v>
      </c>
      <c r="N12" s="324">
        <v>7574.1154621002252</v>
      </c>
      <c r="O12" s="324">
        <v>7547.2956434147554</v>
      </c>
      <c r="P12" s="260">
        <v>16</v>
      </c>
      <c r="Q12" s="260" t="s">
        <v>41</v>
      </c>
      <c r="Z12" s="430"/>
    </row>
    <row r="13" spans="1:28" x14ac:dyDescent="0.2">
      <c r="A13" s="154" t="s">
        <v>42</v>
      </c>
      <c r="B13" s="342">
        <v>4938</v>
      </c>
      <c r="C13" s="342">
        <v>4763</v>
      </c>
      <c r="D13" s="342">
        <v>4700</v>
      </c>
      <c r="E13" s="319">
        <v>4651</v>
      </c>
      <c r="F13" s="324">
        <v>4616.0600987336338</v>
      </c>
      <c r="G13" s="325">
        <v>4583.1167632539173</v>
      </c>
      <c r="H13" s="325">
        <v>4552.1699935608503</v>
      </c>
      <c r="I13" s="325">
        <v>4518.2283751878094</v>
      </c>
      <c r="J13" s="325">
        <v>4484.2867568147676</v>
      </c>
      <c r="K13" s="325">
        <v>4453.3399871217007</v>
      </c>
      <c r="L13" s="324">
        <v>4426.386349001933</v>
      </c>
      <c r="M13" s="324">
        <v>4403.4258424554637</v>
      </c>
      <c r="N13" s="324">
        <v>4385.456750375618</v>
      </c>
      <c r="O13" s="324">
        <v>4369.4842240824219</v>
      </c>
      <c r="P13" s="260">
        <v>18</v>
      </c>
      <c r="Q13" s="260" t="s">
        <v>42</v>
      </c>
      <c r="Z13" s="430"/>
    </row>
    <row r="14" spans="1:28" x14ac:dyDescent="0.2">
      <c r="A14" s="154" t="s">
        <v>43</v>
      </c>
      <c r="B14" s="342">
        <v>3968</v>
      </c>
      <c r="C14" s="342">
        <v>3965</v>
      </c>
      <c r="D14" s="342">
        <v>3961</v>
      </c>
      <c r="E14" s="319">
        <v>3966</v>
      </c>
      <c r="F14" s="324">
        <v>3967.001768123263</v>
      </c>
      <c r="G14" s="325">
        <v>3965.9999999999995</v>
      </c>
      <c r="H14" s="325">
        <v>3967.0017681232625</v>
      </c>
      <c r="I14" s="325">
        <v>3969.0053043697899</v>
      </c>
      <c r="J14" s="325">
        <v>3973.0123768628441</v>
      </c>
      <c r="K14" s="325">
        <v>3975.015913109371</v>
      </c>
      <c r="L14" s="324">
        <v>3978.0212174791614</v>
      </c>
      <c r="M14" s="324">
        <v>3986.0353624652689</v>
      </c>
      <c r="N14" s="324">
        <v>3993.0477393281135</v>
      </c>
      <c r="O14" s="324">
        <v>4000.0601161909581</v>
      </c>
      <c r="P14" s="260">
        <v>19</v>
      </c>
      <c r="Q14" s="260" t="s">
        <v>43</v>
      </c>
      <c r="Z14" s="430"/>
    </row>
    <row r="15" spans="1:28" x14ac:dyDescent="0.2">
      <c r="A15" s="154" t="s">
        <v>44</v>
      </c>
      <c r="B15" s="342">
        <v>1352</v>
      </c>
      <c r="C15" s="342">
        <v>1341</v>
      </c>
      <c r="D15" s="342">
        <v>1320</v>
      </c>
      <c r="E15" s="319">
        <v>1288</v>
      </c>
      <c r="F15" s="324">
        <v>1276.2015267175573</v>
      </c>
      <c r="G15" s="325">
        <v>1266.3694656488551</v>
      </c>
      <c r="H15" s="325">
        <v>1258.5038167938933</v>
      </c>
      <c r="I15" s="325">
        <v>1245.7221374045803</v>
      </c>
      <c r="J15" s="325">
        <v>1235.8900763358781</v>
      </c>
      <c r="K15" s="325">
        <v>1224.0916030534354</v>
      </c>
      <c r="L15" s="324">
        <v>1215.2427480916033</v>
      </c>
      <c r="M15" s="324">
        <v>1203.4442748091606</v>
      </c>
      <c r="N15" s="324">
        <v>1193.6122137404584</v>
      </c>
      <c r="O15" s="324">
        <v>1186.7297709923669</v>
      </c>
      <c r="P15" s="260">
        <v>46</v>
      </c>
      <c r="Q15" s="260" t="s">
        <v>44</v>
      </c>
      <c r="Z15" s="430"/>
    </row>
    <row r="16" spans="1:28" x14ac:dyDescent="0.2">
      <c r="A16" s="154" t="s">
        <v>45</v>
      </c>
      <c r="B16" s="342">
        <v>1850</v>
      </c>
      <c r="C16" s="342">
        <v>1811</v>
      </c>
      <c r="D16" s="342">
        <v>1771</v>
      </c>
      <c r="E16" s="319">
        <v>1762</v>
      </c>
      <c r="F16" s="324">
        <v>1743.9075869937251</v>
      </c>
      <c r="G16" s="325">
        <v>1728.8305761551626</v>
      </c>
      <c r="H16" s="325">
        <v>1714.7586993725045</v>
      </c>
      <c r="I16" s="325">
        <v>1699.681688533942</v>
      </c>
      <c r="J16" s="325">
        <v>1687.6200798630921</v>
      </c>
      <c r="K16" s="325">
        <v>1678.5738733599546</v>
      </c>
      <c r="L16" s="324">
        <v>1667.5173987450089</v>
      </c>
      <c r="M16" s="324">
        <v>1659.4763262977756</v>
      </c>
      <c r="N16" s="324">
        <v>1653.4455219623505</v>
      </c>
      <c r="O16" s="324">
        <v>1648.4198516828299</v>
      </c>
      <c r="P16" s="260">
        <v>47</v>
      </c>
      <c r="Q16" s="260" t="s">
        <v>45</v>
      </c>
      <c r="Z16" s="430"/>
    </row>
    <row r="17" spans="1:26" x14ac:dyDescent="0.2">
      <c r="A17" s="154" t="s">
        <v>46</v>
      </c>
      <c r="B17" s="342">
        <v>296067</v>
      </c>
      <c r="C17" s="342">
        <v>305274</v>
      </c>
      <c r="D17" s="342">
        <v>314024</v>
      </c>
      <c r="E17" s="319">
        <v>320931</v>
      </c>
      <c r="F17" s="324">
        <v>327961.84999642946</v>
      </c>
      <c r="G17" s="325">
        <v>334243.38037872699</v>
      </c>
      <c r="H17" s="325">
        <v>340365.48105589004</v>
      </c>
      <c r="I17" s="325">
        <v>346327.15559226152</v>
      </c>
      <c r="J17" s="325">
        <v>352120.43250258476</v>
      </c>
      <c r="K17" s="325">
        <v>357734.35099463176</v>
      </c>
      <c r="L17" s="324">
        <v>363176.8825536592</v>
      </c>
      <c r="M17" s="324">
        <v>368450.02005098131</v>
      </c>
      <c r="N17" s="324">
        <v>373575.68507105403</v>
      </c>
      <c r="O17" s="324">
        <v>378557.86335650575</v>
      </c>
      <c r="P17" s="260">
        <v>49</v>
      </c>
      <c r="Q17" s="260" t="s">
        <v>46</v>
      </c>
      <c r="Z17" s="430"/>
    </row>
    <row r="18" spans="1:26" x14ac:dyDescent="0.2">
      <c r="A18" s="154" t="s">
        <v>47</v>
      </c>
      <c r="B18" s="342">
        <v>11386</v>
      </c>
      <c r="C18" s="342">
        <v>11276</v>
      </c>
      <c r="D18" s="342">
        <v>11184</v>
      </c>
      <c r="E18" s="319">
        <v>11084</v>
      </c>
      <c r="F18" s="324">
        <v>10973.860885275519</v>
      </c>
      <c r="G18" s="325">
        <v>10864.723035230352</v>
      </c>
      <c r="H18" s="325">
        <v>10765.597831978319</v>
      </c>
      <c r="I18" s="325">
        <v>10670.477687443541</v>
      </c>
      <c r="J18" s="325">
        <v>10577.360072267389</v>
      </c>
      <c r="K18" s="325">
        <v>10487.246251129178</v>
      </c>
      <c r="L18" s="324">
        <v>10401.13748870822</v>
      </c>
      <c r="M18" s="324">
        <v>10320.035049683829</v>
      </c>
      <c r="N18" s="324">
        <v>10240.935140018066</v>
      </c>
      <c r="O18" s="324">
        <v>10165.840289069556</v>
      </c>
      <c r="P18" s="260">
        <v>50</v>
      </c>
      <c r="Q18" s="260" t="s">
        <v>47</v>
      </c>
      <c r="Z18" s="430"/>
    </row>
    <row r="19" spans="1:26" x14ac:dyDescent="0.2">
      <c r="A19" s="154" t="s">
        <v>48</v>
      </c>
      <c r="B19" s="342">
        <v>9522</v>
      </c>
      <c r="C19" s="342">
        <v>9211</v>
      </c>
      <c r="D19" s="342">
        <v>9143</v>
      </c>
      <c r="E19" s="319">
        <v>9052</v>
      </c>
      <c r="F19" s="324">
        <v>8985.1992510188356</v>
      </c>
      <c r="G19" s="325">
        <v>8916.4044498292769</v>
      </c>
      <c r="H19" s="325">
        <v>8849.6037008481126</v>
      </c>
      <c r="I19" s="325">
        <v>8787.7880823879295</v>
      </c>
      <c r="J19" s="325">
        <v>8725.9724639277465</v>
      </c>
      <c r="K19" s="325">
        <v>8669.1419759885466</v>
      </c>
      <c r="L19" s="324">
        <v>8612.3114880493467</v>
      </c>
      <c r="M19" s="324">
        <v>8562.4601828395225</v>
      </c>
      <c r="N19" s="324">
        <v>8518.5910342548759</v>
      </c>
      <c r="O19" s="324">
        <v>8475.7189117744256</v>
      </c>
      <c r="P19" s="260">
        <v>51</v>
      </c>
      <c r="Q19" s="260" t="s">
        <v>48</v>
      </c>
      <c r="Z19" s="430"/>
    </row>
    <row r="20" spans="1:26" x14ac:dyDescent="0.2">
      <c r="A20" s="154" t="s">
        <v>49</v>
      </c>
      <c r="B20" s="342">
        <v>2342</v>
      </c>
      <c r="C20" s="342">
        <v>2346</v>
      </c>
      <c r="D20" s="342">
        <v>2292</v>
      </c>
      <c r="E20" s="319">
        <v>2272</v>
      </c>
      <c r="F20" s="324">
        <v>2237.8647812638092</v>
      </c>
      <c r="G20" s="325">
        <v>2206.7414935925763</v>
      </c>
      <c r="H20" s="325">
        <v>2173.6102518780381</v>
      </c>
      <c r="I20" s="325">
        <v>2140.4790101634999</v>
      </c>
      <c r="J20" s="325">
        <v>2111.3636765355723</v>
      </c>
      <c r="K20" s="325">
        <v>2080.2403888643394</v>
      </c>
      <c r="L20" s="324">
        <v>2051.1250552364118</v>
      </c>
      <c r="M20" s="324">
        <v>2023.0136986301368</v>
      </c>
      <c r="N20" s="324">
        <v>1999.9222271321255</v>
      </c>
      <c r="O20" s="324">
        <v>1977.8347326557666</v>
      </c>
      <c r="P20" s="260">
        <v>52</v>
      </c>
      <c r="Q20" s="260" t="s">
        <v>49</v>
      </c>
      <c r="Z20" s="430"/>
    </row>
    <row r="21" spans="1:26" x14ac:dyDescent="0.2">
      <c r="A21" s="154" t="s">
        <v>50</v>
      </c>
      <c r="B21" s="342">
        <v>16629</v>
      </c>
      <c r="C21" s="342">
        <v>16459</v>
      </c>
      <c r="D21" s="342">
        <v>16469</v>
      </c>
      <c r="E21" s="319">
        <v>16478</v>
      </c>
      <c r="F21" s="324">
        <v>16340.775825117873</v>
      </c>
      <c r="G21" s="325">
        <v>16206.578654093442</v>
      </c>
      <c r="H21" s="325">
        <v>16083.480497213888</v>
      </c>
      <c r="I21" s="325">
        <v>15973.499357051009</v>
      </c>
      <c r="J21" s="325">
        <v>15873.608229747108</v>
      </c>
      <c r="K21" s="325">
        <v>15787.843120445777</v>
      </c>
      <c r="L21" s="324">
        <v>15709.141020145735</v>
      </c>
      <c r="M21" s="324">
        <v>15633.465923703387</v>
      </c>
      <c r="N21" s="324">
        <v>15565.862837548222</v>
      </c>
      <c r="O21" s="324">
        <v>15502.295756536649</v>
      </c>
      <c r="P21" s="260">
        <v>61</v>
      </c>
      <c r="Q21" s="260" t="s">
        <v>50</v>
      </c>
      <c r="Z21" s="430"/>
    </row>
    <row r="22" spans="1:26" x14ac:dyDescent="0.2">
      <c r="A22" s="154" t="s">
        <v>51</v>
      </c>
      <c r="B22" s="342">
        <v>6834</v>
      </c>
      <c r="C22" s="342">
        <v>6687</v>
      </c>
      <c r="D22" s="342">
        <v>6558</v>
      </c>
      <c r="E22" s="319">
        <v>6492</v>
      </c>
      <c r="F22" s="324">
        <v>6390.4839758476546</v>
      </c>
      <c r="G22" s="325">
        <v>6292.9883882954018</v>
      </c>
      <c r="H22" s="325">
        <v>6200.5183464932652</v>
      </c>
      <c r="I22" s="325">
        <v>6109.0534138411522</v>
      </c>
      <c r="J22" s="325">
        <v>6023.619136089178</v>
      </c>
      <c r="K22" s="325">
        <v>5942.2052949372974</v>
      </c>
      <c r="L22" s="324">
        <v>5867.8272178355792</v>
      </c>
      <c r="M22" s="324">
        <v>5795.4593590339073</v>
      </c>
      <c r="N22" s="324">
        <v>5727.111936832328</v>
      </c>
      <c r="O22" s="324">
        <v>5663.7900603808648</v>
      </c>
      <c r="P22" s="260">
        <v>69</v>
      </c>
      <c r="Q22" s="260" t="s">
        <v>51</v>
      </c>
      <c r="Z22" s="430"/>
    </row>
    <row r="23" spans="1:26" x14ac:dyDescent="0.2">
      <c r="A23" s="154" t="s">
        <v>52</v>
      </c>
      <c r="B23" s="342">
        <v>6606</v>
      </c>
      <c r="C23" s="342">
        <v>6591</v>
      </c>
      <c r="D23" s="342">
        <v>6473</v>
      </c>
      <c r="E23" s="319">
        <v>6365</v>
      </c>
      <c r="F23" s="324">
        <v>6298.4911104179664</v>
      </c>
      <c r="G23" s="325">
        <v>6233.9675608234556</v>
      </c>
      <c r="H23" s="325">
        <v>6168.4513412351835</v>
      </c>
      <c r="I23" s="325">
        <v>6107.8984716157202</v>
      </c>
      <c r="J23" s="325">
        <v>6049.3309419837806</v>
      </c>
      <c r="K23" s="325">
        <v>5990.763412351841</v>
      </c>
      <c r="L23" s="324">
        <v>5935.1738927011857</v>
      </c>
      <c r="M23" s="324">
        <v>5882.5623830318154</v>
      </c>
      <c r="N23" s="324">
        <v>5831.936213349969</v>
      </c>
      <c r="O23" s="324">
        <v>5786.2733936369305</v>
      </c>
      <c r="P23" s="260">
        <v>71</v>
      </c>
      <c r="Q23" s="260" t="s">
        <v>52</v>
      </c>
      <c r="Z23" s="430"/>
    </row>
    <row r="24" spans="1:26" x14ac:dyDescent="0.2">
      <c r="A24" s="154" t="s">
        <v>53</v>
      </c>
      <c r="B24" s="342">
        <v>976</v>
      </c>
      <c r="C24" s="342">
        <v>960</v>
      </c>
      <c r="D24" s="342">
        <v>948</v>
      </c>
      <c r="E24" s="319">
        <v>927</v>
      </c>
      <c r="F24" s="324">
        <v>923.0761904761905</v>
      </c>
      <c r="G24" s="325">
        <v>918.17142857142869</v>
      </c>
      <c r="H24" s="325">
        <v>912.28571428571445</v>
      </c>
      <c r="I24" s="325">
        <v>907.38095238095252</v>
      </c>
      <c r="J24" s="325">
        <v>901.49523809523816</v>
      </c>
      <c r="K24" s="325">
        <v>898.55238095238099</v>
      </c>
      <c r="L24" s="324">
        <v>892.66666666666674</v>
      </c>
      <c r="M24" s="324">
        <v>887.76190476190482</v>
      </c>
      <c r="N24" s="324">
        <v>883.83809523809532</v>
      </c>
      <c r="O24" s="324">
        <v>877.95238095238108</v>
      </c>
      <c r="P24" s="260">
        <v>72</v>
      </c>
      <c r="Q24" s="260" t="s">
        <v>53</v>
      </c>
      <c r="Z24" s="430"/>
    </row>
    <row r="25" spans="1:26" x14ac:dyDescent="0.2">
      <c r="A25" s="154" t="s">
        <v>54</v>
      </c>
      <c r="B25" s="342">
        <v>1107</v>
      </c>
      <c r="C25" s="342">
        <v>1052</v>
      </c>
      <c r="D25" s="342">
        <v>1013</v>
      </c>
      <c r="E25" s="319">
        <v>985</v>
      </c>
      <c r="F25" s="324">
        <v>963.08897876643073</v>
      </c>
      <c r="G25" s="325">
        <v>939.18604651162786</v>
      </c>
      <c r="H25" s="325">
        <v>919.26693629929218</v>
      </c>
      <c r="I25" s="325">
        <v>902.33569261880689</v>
      </c>
      <c r="J25" s="325">
        <v>883.412537917088</v>
      </c>
      <c r="K25" s="325">
        <v>864.48938321536912</v>
      </c>
      <c r="L25" s="324">
        <v>848.5540950455005</v>
      </c>
      <c r="M25" s="324">
        <v>832.61880687563189</v>
      </c>
      <c r="N25" s="324">
        <v>818.67542972699687</v>
      </c>
      <c r="O25" s="324">
        <v>803.73609706774505</v>
      </c>
      <c r="P25" s="260">
        <v>74</v>
      </c>
      <c r="Q25" s="260" t="s">
        <v>54</v>
      </c>
      <c r="Z25" s="430"/>
    </row>
    <row r="26" spans="1:26" x14ac:dyDescent="0.2">
      <c r="A26" s="154" t="s">
        <v>55</v>
      </c>
      <c r="B26" s="342">
        <v>19719</v>
      </c>
      <c r="C26" s="342">
        <v>19549</v>
      </c>
      <c r="D26" s="342">
        <v>19534</v>
      </c>
      <c r="E26" s="319">
        <v>19311</v>
      </c>
      <c r="F26" s="324">
        <v>19139.497340837508</v>
      </c>
      <c r="G26" s="325">
        <v>18966.00046470801</v>
      </c>
      <c r="H26" s="325">
        <v>18791.506480095009</v>
      </c>
      <c r="I26" s="325">
        <v>18622.995146383026</v>
      </c>
      <c r="J26" s="325">
        <v>18459.469355088557</v>
      </c>
      <c r="K26" s="325">
        <v>18297.937780761094</v>
      </c>
      <c r="L26" s="324">
        <v>18144.383074301655</v>
      </c>
      <c r="M26" s="324">
        <v>17994.816801776225</v>
      </c>
      <c r="N26" s="324">
        <v>17851.233180151812</v>
      </c>
      <c r="O26" s="324">
        <v>17714.62931791192</v>
      </c>
      <c r="P26" s="260">
        <v>75</v>
      </c>
      <c r="Q26" s="260" t="s">
        <v>55</v>
      </c>
      <c r="Z26" s="430"/>
    </row>
    <row r="27" spans="1:26" x14ac:dyDescent="0.2">
      <c r="A27" s="154" t="s">
        <v>56</v>
      </c>
      <c r="B27" s="342">
        <v>4680</v>
      </c>
      <c r="C27" s="342">
        <v>4601</v>
      </c>
      <c r="D27" s="342">
        <v>4549</v>
      </c>
      <c r="E27" s="319">
        <v>4509</v>
      </c>
      <c r="F27" s="324">
        <v>4439.4602145730887</v>
      </c>
      <c r="G27" s="325">
        <v>4365.889137237371</v>
      </c>
      <c r="H27" s="325">
        <v>4295.3415288332581</v>
      </c>
      <c r="I27" s="325">
        <v>4229.8330353151532</v>
      </c>
      <c r="J27" s="325">
        <v>4166.3401877514516</v>
      </c>
      <c r="K27" s="325">
        <v>4105.8708091193548</v>
      </c>
      <c r="L27" s="324">
        <v>4050.4405453732666</v>
      </c>
      <c r="M27" s="324">
        <v>3997.0259275815811</v>
      </c>
      <c r="N27" s="324">
        <v>3949.6582476531053</v>
      </c>
      <c r="O27" s="324">
        <v>3906.3218596334359</v>
      </c>
      <c r="P27" s="260">
        <v>77</v>
      </c>
      <c r="Q27" s="260" t="s">
        <v>56</v>
      </c>
      <c r="Z27" s="430"/>
    </row>
    <row r="28" spans="1:26" x14ac:dyDescent="0.2">
      <c r="A28" s="154" t="s">
        <v>57</v>
      </c>
      <c r="B28" s="342">
        <v>7909</v>
      </c>
      <c r="C28" s="342">
        <v>7832</v>
      </c>
      <c r="D28" s="342">
        <v>7721</v>
      </c>
      <c r="E28" s="319">
        <v>7702</v>
      </c>
      <c r="F28" s="324">
        <v>7592.6368656323957</v>
      </c>
      <c r="G28" s="325">
        <v>7485.2989744938204</v>
      </c>
      <c r="H28" s="325">
        <v>7386.0620562713639</v>
      </c>
      <c r="I28" s="325">
        <v>7290.8756245069671</v>
      </c>
      <c r="J28" s="325">
        <v>7203.7901656586901</v>
      </c>
      <c r="K28" s="325">
        <v>7122.7804364975018</v>
      </c>
      <c r="L28" s="324">
        <v>7053.9221667104921</v>
      </c>
      <c r="M28" s="324">
        <v>6989.1143833815413</v>
      </c>
      <c r="N28" s="324">
        <v>6932.4075729687092</v>
      </c>
      <c r="O28" s="324">
        <v>6880.7638706284515</v>
      </c>
      <c r="P28" s="260">
        <v>78</v>
      </c>
      <c r="Q28" s="260" t="s">
        <v>57</v>
      </c>
      <c r="Z28" s="430"/>
    </row>
    <row r="29" spans="1:26" x14ac:dyDescent="0.2">
      <c r="A29" s="154" t="s">
        <v>58</v>
      </c>
      <c r="B29" s="342">
        <v>6812</v>
      </c>
      <c r="C29" s="342">
        <v>6753</v>
      </c>
      <c r="D29" s="342">
        <v>6703</v>
      </c>
      <c r="E29" s="319">
        <v>6647</v>
      </c>
      <c r="F29" s="324">
        <v>6583.8955696202529</v>
      </c>
      <c r="G29" s="325">
        <v>6521.7927968655813</v>
      </c>
      <c r="H29" s="325">
        <v>6466.7016274864372</v>
      </c>
      <c r="I29" s="325">
        <v>6412.6121157323687</v>
      </c>
      <c r="J29" s="325">
        <v>6356.5192887281501</v>
      </c>
      <c r="K29" s="325">
        <v>6303.4314345991561</v>
      </c>
      <c r="L29" s="324">
        <v>6250.3435804701621</v>
      </c>
      <c r="M29" s="324">
        <v>6196.2540687160936</v>
      </c>
      <c r="N29" s="324">
        <v>6146.1711874623261</v>
      </c>
      <c r="O29" s="324">
        <v>6099.0932790837851</v>
      </c>
      <c r="P29" s="260">
        <v>79</v>
      </c>
      <c r="Q29" s="260" t="s">
        <v>58</v>
      </c>
      <c r="Z29" s="430"/>
    </row>
    <row r="30" spans="1:26" x14ac:dyDescent="0.2">
      <c r="A30" s="154" t="s">
        <v>59</v>
      </c>
      <c r="B30" s="342">
        <v>2602</v>
      </c>
      <c r="C30" s="342">
        <v>2574</v>
      </c>
      <c r="D30" s="342">
        <v>2531</v>
      </c>
      <c r="E30" s="319">
        <v>2482</v>
      </c>
      <c r="F30" s="324">
        <v>2444.1372942593334</v>
      </c>
      <c r="G30" s="325">
        <v>2408.2673625050179</v>
      </c>
      <c r="H30" s="325">
        <v>2376.382978723404</v>
      </c>
      <c r="I30" s="325">
        <v>2347.4877559213164</v>
      </c>
      <c r="J30" s="325">
        <v>2316.5997591328778</v>
      </c>
      <c r="K30" s="325">
        <v>2290.6936973103166</v>
      </c>
      <c r="L30" s="324">
        <v>2264.7876354877553</v>
      </c>
      <c r="M30" s="324">
        <v>2239.8779606583694</v>
      </c>
      <c r="N30" s="324">
        <v>2217.9574468085098</v>
      </c>
      <c r="O30" s="324">
        <v>2197.0333199518259</v>
      </c>
      <c r="P30" s="260">
        <v>81</v>
      </c>
      <c r="Q30" s="260" t="s">
        <v>59</v>
      </c>
      <c r="Z30" s="430"/>
    </row>
    <row r="31" spans="1:26" x14ac:dyDescent="0.2">
      <c r="A31" s="154" t="s">
        <v>60</v>
      </c>
      <c r="B31" s="342">
        <v>9316</v>
      </c>
      <c r="C31" s="342">
        <v>9359</v>
      </c>
      <c r="D31" s="342">
        <v>9371</v>
      </c>
      <c r="E31" s="319">
        <v>9361</v>
      </c>
      <c r="F31" s="324">
        <v>9339.9932677922625</v>
      </c>
      <c r="G31" s="325">
        <v>9319.9868561658477</v>
      </c>
      <c r="H31" s="325">
        <v>9294.9788416328283</v>
      </c>
      <c r="I31" s="325">
        <v>9271.9714682624508</v>
      </c>
      <c r="J31" s="325">
        <v>9244.9628125667896</v>
      </c>
      <c r="K31" s="325">
        <v>9219.9547980337702</v>
      </c>
      <c r="L31" s="324">
        <v>9197.9477452447118</v>
      </c>
      <c r="M31" s="324">
        <v>9180.9422953622579</v>
      </c>
      <c r="N31" s="324">
        <v>9161.9362043171623</v>
      </c>
      <c r="O31" s="324">
        <v>9145.9310750160294</v>
      </c>
      <c r="P31" s="260">
        <v>82</v>
      </c>
      <c r="Q31" s="260" t="s">
        <v>60</v>
      </c>
      <c r="Z31" s="430"/>
    </row>
    <row r="32" spans="1:26" x14ac:dyDescent="0.2">
      <c r="A32" s="154" t="s">
        <v>61</v>
      </c>
      <c r="B32" s="342">
        <v>8166</v>
      </c>
      <c r="C32" s="342">
        <v>8031</v>
      </c>
      <c r="D32" s="342">
        <v>7998</v>
      </c>
      <c r="E32" s="319">
        <v>7901</v>
      </c>
      <c r="F32" s="324">
        <v>7829.1182714177412</v>
      </c>
      <c r="G32" s="325">
        <v>7765.2234015668437</v>
      </c>
      <c r="H32" s="325">
        <v>7707.318675764468</v>
      </c>
      <c r="I32" s="325">
        <v>7657.4008086934546</v>
      </c>
      <c r="J32" s="325">
        <v>7612.4747283295419</v>
      </c>
      <c r="K32" s="325">
        <v>7572.540434672731</v>
      </c>
      <c r="L32" s="324">
        <v>7534.6028556987612</v>
      </c>
      <c r="M32" s="324">
        <v>7505.650492797573</v>
      </c>
      <c r="N32" s="324">
        <v>7481.6899166034864</v>
      </c>
      <c r="O32" s="324">
        <v>7461.7227697750814</v>
      </c>
      <c r="P32" s="260">
        <v>86</v>
      </c>
      <c r="Q32" s="260" t="s">
        <v>61</v>
      </c>
      <c r="Z32" s="430"/>
    </row>
    <row r="33" spans="1:26" x14ac:dyDescent="0.2">
      <c r="A33" s="154" t="s">
        <v>62</v>
      </c>
      <c r="B33" s="342">
        <v>18220</v>
      </c>
      <c r="C33" s="342">
        <v>18131</v>
      </c>
      <c r="D33" s="342">
        <v>17953</v>
      </c>
      <c r="E33" s="319">
        <v>17829</v>
      </c>
      <c r="F33" s="324">
        <v>17665.624297279064</v>
      </c>
      <c r="G33" s="325">
        <v>17505.255509332135</v>
      </c>
      <c r="H33" s="325">
        <v>17358.91899033056</v>
      </c>
      <c r="I33" s="325">
        <v>17222.605520575671</v>
      </c>
      <c r="J33" s="325">
        <v>17094.310490218126</v>
      </c>
      <c r="K33" s="325">
        <v>16973.031594333261</v>
      </c>
      <c r="L33" s="324">
        <v>16862.778052619746</v>
      </c>
      <c r="M33" s="324">
        <v>16759.540645378907</v>
      </c>
      <c r="N33" s="324">
        <v>16659.310152912076</v>
      </c>
      <c r="O33" s="324">
        <v>16568.100404767258</v>
      </c>
      <c r="P33" s="260">
        <v>111</v>
      </c>
      <c r="Q33" s="260" t="s">
        <v>62</v>
      </c>
      <c r="Z33" s="430"/>
    </row>
    <row r="34" spans="1:26" x14ac:dyDescent="0.2">
      <c r="A34" s="154" t="s">
        <v>63</v>
      </c>
      <c r="B34" s="342">
        <v>3135</v>
      </c>
      <c r="C34" s="342">
        <v>3061</v>
      </c>
      <c r="D34" s="342">
        <v>3001</v>
      </c>
      <c r="E34" s="319">
        <v>2929</v>
      </c>
      <c r="F34" s="324">
        <v>2872.1552604698672</v>
      </c>
      <c r="G34" s="325">
        <v>2816.3077970718418</v>
      </c>
      <c r="H34" s="325">
        <v>2762.454885938032</v>
      </c>
      <c r="I34" s="325">
        <v>2715.582907728975</v>
      </c>
      <c r="J34" s="325">
        <v>2671.7027579162409</v>
      </c>
      <c r="K34" s="325">
        <v>2631.8117126319371</v>
      </c>
      <c r="L34" s="324">
        <v>2595.9097718760636</v>
      </c>
      <c r="M34" s="324">
        <v>2562.0023833844057</v>
      </c>
      <c r="N34" s="324">
        <v>2532.0840994211781</v>
      </c>
      <c r="O34" s="324">
        <v>2504.1603677221656</v>
      </c>
      <c r="P34" s="260">
        <v>90</v>
      </c>
      <c r="Q34" s="260" t="s">
        <v>63</v>
      </c>
      <c r="Z34" s="430"/>
    </row>
    <row r="35" spans="1:26" x14ac:dyDescent="0.2">
      <c r="A35" s="154" t="s">
        <v>64</v>
      </c>
      <c r="B35" s="342">
        <v>669339</v>
      </c>
      <c r="C35" s="342">
        <v>664028</v>
      </c>
      <c r="D35" s="342">
        <v>674500</v>
      </c>
      <c r="E35" s="319">
        <v>684018</v>
      </c>
      <c r="F35" s="324">
        <v>694418.31213029393</v>
      </c>
      <c r="G35" s="325">
        <v>703530.66299399734</v>
      </c>
      <c r="H35" s="325">
        <v>712457.73868710082</v>
      </c>
      <c r="I35" s="325">
        <v>721194.55869426567</v>
      </c>
      <c r="J35" s="325">
        <v>729744.11132469506</v>
      </c>
      <c r="K35" s="325">
        <v>738090.45892930496</v>
      </c>
      <c r="L35" s="324">
        <v>746208.69893140194</v>
      </c>
      <c r="M35" s="324">
        <v>754079.90537269891</v>
      </c>
      <c r="N35" s="324">
        <v>761705.07435626362</v>
      </c>
      <c r="O35" s="324">
        <v>769073.248748351</v>
      </c>
      <c r="P35" s="260">
        <v>91</v>
      </c>
      <c r="Q35" s="260" t="s">
        <v>64</v>
      </c>
      <c r="Z35" s="430"/>
    </row>
    <row r="36" spans="1:26" x14ac:dyDescent="0.2">
      <c r="A36" s="154" t="s">
        <v>65</v>
      </c>
      <c r="B36" s="342">
        <v>2029</v>
      </c>
      <c r="C36" s="342">
        <v>2091</v>
      </c>
      <c r="D36" s="342">
        <v>2062</v>
      </c>
      <c r="E36" s="319">
        <v>2059</v>
      </c>
      <c r="F36" s="324">
        <v>2051.989785992218</v>
      </c>
      <c r="G36" s="325">
        <v>2042.9766536964983</v>
      </c>
      <c r="H36" s="325">
        <v>2034.9649805447473</v>
      </c>
      <c r="I36" s="325">
        <v>2028.956225680934</v>
      </c>
      <c r="J36" s="325">
        <v>2021.9460116731518</v>
      </c>
      <c r="K36" s="325">
        <v>2014.9357976653698</v>
      </c>
      <c r="L36" s="324">
        <v>2006.9241245136188</v>
      </c>
      <c r="M36" s="324">
        <v>2000.9153696498056</v>
      </c>
      <c r="N36" s="324">
        <v>1992.9036964980546</v>
      </c>
      <c r="O36" s="324">
        <v>1984.8920233463036</v>
      </c>
      <c r="P36" s="260">
        <v>97</v>
      </c>
      <c r="Q36" s="260" t="s">
        <v>65</v>
      </c>
      <c r="Z36" s="430"/>
    </row>
    <row r="37" spans="1:26" x14ac:dyDescent="0.2">
      <c r="A37" s="154" t="s">
        <v>66</v>
      </c>
      <c r="B37" s="342">
        <v>23261</v>
      </c>
      <c r="C37" s="342">
        <v>22943</v>
      </c>
      <c r="D37" s="342">
        <v>22885</v>
      </c>
      <c r="E37" s="319">
        <v>22849</v>
      </c>
      <c r="F37" s="319">
        <v>22753.787481358017</v>
      </c>
      <c r="G37" s="319">
        <v>22650.557066409339</v>
      </c>
      <c r="H37" s="319">
        <v>22555.344547767356</v>
      </c>
      <c r="I37" s="325">
        <v>22465.143214317053</v>
      </c>
      <c r="J37" s="325">
        <v>22374.941880866751</v>
      </c>
      <c r="K37" s="325">
        <v>22285.742784454786</v>
      </c>
      <c r="L37" s="324">
        <v>22197.545925081158</v>
      </c>
      <c r="M37" s="324">
        <v>22109.349065707527</v>
      </c>
      <c r="N37" s="324">
        <v>22029.170102640594</v>
      </c>
      <c r="O37" s="324">
        <v>21957.00903588035</v>
      </c>
      <c r="P37" s="260">
        <v>98</v>
      </c>
      <c r="Q37" s="260" t="s">
        <v>66</v>
      </c>
      <c r="Z37" s="430"/>
    </row>
    <row r="38" spans="1:26" x14ac:dyDescent="0.2">
      <c r="A38" s="154" t="s">
        <v>67</v>
      </c>
      <c r="B38" s="342">
        <v>9808</v>
      </c>
      <c r="C38" s="342">
        <v>9745</v>
      </c>
      <c r="D38" s="342">
        <v>9646</v>
      </c>
      <c r="E38" s="319">
        <v>9555</v>
      </c>
      <c r="F38" s="324">
        <v>9458.9396795475968</v>
      </c>
      <c r="G38" s="325">
        <v>9371.885014137606</v>
      </c>
      <c r="H38" s="325">
        <v>9289.8334904178446</v>
      </c>
      <c r="I38" s="325">
        <v>9214.7863650644049</v>
      </c>
      <c r="J38" s="325">
        <v>9145.7430097392389</v>
      </c>
      <c r="K38" s="325">
        <v>9076.6996544140729</v>
      </c>
      <c r="L38" s="324">
        <v>9013.6600691171825</v>
      </c>
      <c r="M38" s="324">
        <v>8953.6223688344307</v>
      </c>
      <c r="N38" s="324">
        <v>8897.5871819038621</v>
      </c>
      <c r="O38" s="324">
        <v>8843.5532516493859</v>
      </c>
      <c r="P38" s="260">
        <v>102</v>
      </c>
      <c r="Q38" s="260" t="s">
        <v>67</v>
      </c>
      <c r="Z38" s="430"/>
    </row>
    <row r="39" spans="1:26" x14ac:dyDescent="0.2">
      <c r="A39" s="154" t="s">
        <v>68</v>
      </c>
      <c r="B39" s="342">
        <v>2104</v>
      </c>
      <c r="C39" s="342">
        <v>2161</v>
      </c>
      <c r="D39" s="342">
        <v>2125</v>
      </c>
      <c r="E39" s="319">
        <v>2094</v>
      </c>
      <c r="F39" s="324">
        <v>2079.1066856330017</v>
      </c>
      <c r="G39" s="325">
        <v>2064.2133712660029</v>
      </c>
      <c r="H39" s="325">
        <v>2051.3058321479375</v>
      </c>
      <c r="I39" s="325">
        <v>2040.3840682788052</v>
      </c>
      <c r="J39" s="325">
        <v>2028.4694167852065</v>
      </c>
      <c r="K39" s="325">
        <v>2016.5547652916075</v>
      </c>
      <c r="L39" s="324">
        <v>2007.6187766714083</v>
      </c>
      <c r="M39" s="324">
        <v>2001.661450924609</v>
      </c>
      <c r="N39" s="324">
        <v>1993.7183499288765</v>
      </c>
      <c r="O39" s="320">
        <v>1988.7539118065436</v>
      </c>
      <c r="P39" s="260">
        <v>103</v>
      </c>
      <c r="Q39" s="260" t="s">
        <v>68</v>
      </c>
      <c r="Z39" s="430"/>
    </row>
    <row r="40" spans="1:26" x14ac:dyDescent="0.2">
      <c r="A40" s="154" t="s">
        <v>69</v>
      </c>
      <c r="B40" s="342">
        <v>2126</v>
      </c>
      <c r="C40" s="342">
        <v>2094</v>
      </c>
      <c r="D40" s="342">
        <v>2063</v>
      </c>
      <c r="E40" s="319">
        <v>2002</v>
      </c>
      <c r="F40" s="324">
        <v>1967.3804347826087</v>
      </c>
      <c r="G40" s="325">
        <v>1932.7608695652173</v>
      </c>
      <c r="H40" s="325">
        <v>1898.141304347826</v>
      </c>
      <c r="I40" s="325">
        <v>1864.5108695652173</v>
      </c>
      <c r="J40" s="325">
        <v>1833.8478260869565</v>
      </c>
      <c r="K40" s="325">
        <v>1802.195652173913</v>
      </c>
      <c r="L40" s="324">
        <v>1771.532608695652</v>
      </c>
      <c r="M40" s="324">
        <v>1742.8478260869565</v>
      </c>
      <c r="N40" s="324">
        <v>1715.1521739130433</v>
      </c>
      <c r="O40" s="343">
        <v>1688.4456521739128</v>
      </c>
      <c r="P40" s="431">
        <v>105</v>
      </c>
      <c r="Q40" s="260" t="s">
        <v>69</v>
      </c>
      <c r="Z40" s="430"/>
    </row>
    <row r="41" spans="1:26" x14ac:dyDescent="0.2">
      <c r="A41" s="154" t="s">
        <v>70</v>
      </c>
      <c r="B41" s="342">
        <v>46379</v>
      </c>
      <c r="C41" s="342">
        <v>46797</v>
      </c>
      <c r="D41" s="342">
        <v>46901</v>
      </c>
      <c r="E41" s="319">
        <v>47031</v>
      </c>
      <c r="F41" s="324">
        <v>47167.892304750574</v>
      </c>
      <c r="G41" s="325">
        <v>47283.801117532079</v>
      </c>
      <c r="H41" s="325">
        <v>47404.705999830032</v>
      </c>
      <c r="I41" s="325">
        <v>47535.603021160874</v>
      </c>
      <c r="J41" s="325">
        <v>47676.492181524605</v>
      </c>
      <c r="K41" s="325">
        <v>47826.374267017934</v>
      </c>
      <c r="L41" s="324">
        <v>47984.250063737578</v>
      </c>
      <c r="M41" s="324">
        <v>48151.118785586819</v>
      </c>
      <c r="N41" s="324">
        <v>48326.980432565659</v>
      </c>
      <c r="O41" s="324">
        <v>48508.83736296423</v>
      </c>
      <c r="P41" s="260">
        <v>106</v>
      </c>
      <c r="Q41" s="260" t="s">
        <v>70</v>
      </c>
      <c r="Z41" s="430"/>
    </row>
    <row r="42" spans="1:26" x14ac:dyDescent="0.2">
      <c r="A42" s="154" t="s">
        <v>71</v>
      </c>
      <c r="B42" s="342">
        <v>10376</v>
      </c>
      <c r="C42" s="342">
        <v>10257</v>
      </c>
      <c r="D42" s="342">
        <v>10319</v>
      </c>
      <c r="E42" s="319">
        <v>10348</v>
      </c>
      <c r="F42" s="324">
        <v>10324.86811157547</v>
      </c>
      <c r="G42" s="325">
        <v>10305.759160268248</v>
      </c>
      <c r="H42" s="325">
        <v>10292.68461463699</v>
      </c>
      <c r="I42" s="325">
        <v>10280.61580328506</v>
      </c>
      <c r="J42" s="325">
        <v>10269.552726212458</v>
      </c>
      <c r="K42" s="325">
        <v>10259.495383419184</v>
      </c>
      <c r="L42" s="324">
        <v>10248.432306346582</v>
      </c>
      <c r="M42" s="324">
        <v>10238.374963553308</v>
      </c>
      <c r="N42" s="324">
        <v>10230.329089318688</v>
      </c>
      <c r="O42" s="324">
        <v>10226.306152201378</v>
      </c>
      <c r="P42" s="260">
        <v>108</v>
      </c>
      <c r="Q42" s="260" t="s">
        <v>71</v>
      </c>
      <c r="Z42" s="430"/>
    </row>
    <row r="43" spans="1:26" x14ac:dyDescent="0.2">
      <c r="A43" s="154" t="s">
        <v>72</v>
      </c>
      <c r="B43" s="342">
        <v>67066</v>
      </c>
      <c r="C43" s="342">
        <v>68043</v>
      </c>
      <c r="D43" s="342">
        <v>68319</v>
      </c>
      <c r="E43" s="319">
        <v>68433</v>
      </c>
      <c r="F43" s="324">
        <v>68640.542050624048</v>
      </c>
      <c r="G43" s="325">
        <v>68800.189781873327</v>
      </c>
      <c r="H43" s="325">
        <v>68954.848521521053</v>
      </c>
      <c r="I43" s="325">
        <v>69107.511664528167</v>
      </c>
      <c r="J43" s="325">
        <v>69255.185815933743</v>
      </c>
      <c r="K43" s="325">
        <v>69401.862169019019</v>
      </c>
      <c r="L43" s="324">
        <v>69545.545127143356</v>
      </c>
      <c r="M43" s="324">
        <v>69680.247900384929</v>
      </c>
      <c r="N43" s="324">
        <v>69814.950673626503</v>
      </c>
      <c r="O43" s="324">
        <v>69943.666656946225</v>
      </c>
      <c r="P43" s="260">
        <v>109</v>
      </c>
      <c r="Q43" s="260" t="s">
        <v>72</v>
      </c>
      <c r="Z43" s="430"/>
    </row>
    <row r="44" spans="1:26" x14ac:dyDescent="0.2">
      <c r="A44" s="154" t="s">
        <v>73</v>
      </c>
      <c r="B44" s="342">
        <v>9711</v>
      </c>
      <c r="C44" s="342">
        <v>9853</v>
      </c>
      <c r="D44" s="342">
        <v>9766</v>
      </c>
      <c r="E44" s="319">
        <v>9806</v>
      </c>
      <c r="F44" s="324">
        <v>9792.9400676160221</v>
      </c>
      <c r="G44" s="325">
        <v>9771.8432537649824</v>
      </c>
      <c r="H44" s="325">
        <v>9749.7418297305594</v>
      </c>
      <c r="I44" s="325">
        <v>9725.6311853293719</v>
      </c>
      <c r="J44" s="325">
        <v>9703.5297612949489</v>
      </c>
      <c r="K44" s="325">
        <v>9685.4467779940587</v>
      </c>
      <c r="L44" s="324">
        <v>9667.3637946931667</v>
      </c>
      <c r="M44" s="324">
        <v>9650.2854215756579</v>
      </c>
      <c r="N44" s="324">
        <v>9633.2070484581491</v>
      </c>
      <c r="O44" s="324">
        <v>9621.1517262575544</v>
      </c>
      <c r="P44" s="260">
        <v>139</v>
      </c>
      <c r="Q44" s="260" t="s">
        <v>73</v>
      </c>
      <c r="Z44" s="430"/>
    </row>
    <row r="45" spans="1:26" x14ac:dyDescent="0.2">
      <c r="A45" s="154" t="s">
        <v>74</v>
      </c>
      <c r="B45" s="342">
        <v>20923</v>
      </c>
      <c r="C45" s="342">
        <v>20801</v>
      </c>
      <c r="D45" s="342">
        <v>20618</v>
      </c>
      <c r="E45" s="319">
        <v>20463</v>
      </c>
      <c r="F45" s="324">
        <v>20297.903183218423</v>
      </c>
      <c r="G45" s="325">
        <v>20125.802259058233</v>
      </c>
      <c r="H45" s="325">
        <v>19957.703681971536</v>
      </c>
      <c r="I45" s="325">
        <v>19798.610385800199</v>
      </c>
      <c r="J45" s="325">
        <v>19638.51650286049</v>
      </c>
      <c r="K45" s="325">
        <v>19482.424966994273</v>
      </c>
      <c r="L45" s="324">
        <v>19330.335778201548</v>
      </c>
      <c r="M45" s="324">
        <v>19183.249523250688</v>
      </c>
      <c r="N45" s="324">
        <v>19037.163855068204</v>
      </c>
      <c r="O45" s="324">
        <v>18896.081120727584</v>
      </c>
      <c r="P45" s="260">
        <v>140</v>
      </c>
      <c r="Q45" s="260" t="s">
        <v>74</v>
      </c>
      <c r="Z45" s="430"/>
    </row>
    <row r="46" spans="1:26" x14ac:dyDescent="0.2">
      <c r="A46" s="154" t="s">
        <v>75</v>
      </c>
      <c r="B46" s="342">
        <v>6611</v>
      </c>
      <c r="C46" s="342">
        <v>6504</v>
      </c>
      <c r="D46" s="342">
        <v>6444</v>
      </c>
      <c r="E46" s="319">
        <v>6401</v>
      </c>
      <c r="F46" s="324">
        <v>6348.9430716296529</v>
      </c>
      <c r="G46" s="325">
        <v>6301.8916171410701</v>
      </c>
      <c r="H46" s="325">
        <v>6253.8390678761343</v>
      </c>
      <c r="I46" s="325">
        <v>6209.7908977166098</v>
      </c>
      <c r="J46" s="325">
        <v>6167.7449171097915</v>
      </c>
      <c r="K46" s="325">
        <v>6126.7000312793252</v>
      </c>
      <c r="L46" s="324">
        <v>6086.6562402252121</v>
      </c>
      <c r="M46" s="324">
        <v>6047.613543947451</v>
      </c>
      <c r="N46" s="324">
        <v>6008.5708476696909</v>
      </c>
      <c r="O46" s="324">
        <v>5971.530340944636</v>
      </c>
      <c r="P46" s="260">
        <v>142</v>
      </c>
      <c r="Q46" s="260" t="s">
        <v>75</v>
      </c>
      <c r="Z46" s="430"/>
    </row>
    <row r="47" spans="1:26" x14ac:dyDescent="0.2">
      <c r="A47" s="154" t="s">
        <v>76</v>
      </c>
      <c r="B47" s="342">
        <v>6786</v>
      </c>
      <c r="C47" s="342">
        <v>6804</v>
      </c>
      <c r="D47" s="342">
        <v>6850</v>
      </c>
      <c r="E47" s="319">
        <v>6758</v>
      </c>
      <c r="F47" s="324">
        <v>6728.2814423922609</v>
      </c>
      <c r="G47" s="325">
        <v>6701.5347405452949</v>
      </c>
      <c r="H47" s="325">
        <v>6676.7692758721787</v>
      </c>
      <c r="I47" s="325">
        <v>6652.0038111990616</v>
      </c>
      <c r="J47" s="325">
        <v>6630.2102022867193</v>
      </c>
      <c r="K47" s="325">
        <v>6610.397830548226</v>
      </c>
      <c r="L47" s="324">
        <v>6591.5760773966576</v>
      </c>
      <c r="M47" s="324">
        <v>6574.7355614189391</v>
      </c>
      <c r="N47" s="324">
        <v>6559.8762826150687</v>
      </c>
      <c r="O47" s="324">
        <v>6547.9888595719722</v>
      </c>
      <c r="P47" s="260">
        <v>143</v>
      </c>
      <c r="Q47" s="260" t="s">
        <v>76</v>
      </c>
      <c r="Z47" s="430"/>
    </row>
    <row r="48" spans="1:26" x14ac:dyDescent="0.2">
      <c r="A48" s="154" t="s">
        <v>77</v>
      </c>
      <c r="B48" s="342">
        <v>12233</v>
      </c>
      <c r="C48" s="342">
        <v>12369</v>
      </c>
      <c r="D48" s="342">
        <v>12343</v>
      </c>
      <c r="E48" s="319">
        <v>12429</v>
      </c>
      <c r="F48" s="324">
        <v>12469.116194626</v>
      </c>
      <c r="G48" s="325">
        <v>12499.203340595501</v>
      </c>
      <c r="H48" s="325">
        <v>12527.284676833699</v>
      </c>
      <c r="I48" s="325">
        <v>12552.357298474948</v>
      </c>
      <c r="J48" s="325">
        <v>12577.429920116198</v>
      </c>
      <c r="K48" s="325">
        <v>12601.499636891798</v>
      </c>
      <c r="L48" s="324">
        <v>12626.572258533048</v>
      </c>
      <c r="M48" s="324">
        <v>12649.639070442998</v>
      </c>
      <c r="N48" s="324">
        <v>12672.705882352948</v>
      </c>
      <c r="O48" s="324">
        <v>12694.769789397245</v>
      </c>
      <c r="P48" s="260">
        <v>145</v>
      </c>
      <c r="Q48" s="260" t="s">
        <v>77</v>
      </c>
      <c r="Z48" s="430"/>
    </row>
    <row r="49" spans="1:26" x14ac:dyDescent="0.2">
      <c r="A49" s="154" t="s">
        <v>78</v>
      </c>
      <c r="B49" s="342">
        <v>4614</v>
      </c>
      <c r="C49" s="342">
        <v>4492</v>
      </c>
      <c r="D49" s="342">
        <v>4406</v>
      </c>
      <c r="E49" s="319">
        <v>4382</v>
      </c>
      <c r="F49" s="324">
        <v>4286.3631297887159</v>
      </c>
      <c r="G49" s="325">
        <v>4196.8307406547483</v>
      </c>
      <c r="H49" s="325">
        <v>4111.3680055723244</v>
      </c>
      <c r="I49" s="325">
        <v>4029.9749245414446</v>
      </c>
      <c r="J49" s="325">
        <v>3952.6514975621085</v>
      </c>
      <c r="K49" s="325">
        <v>3881.4325516600884</v>
      </c>
      <c r="L49" s="324">
        <v>3812.2484327838406</v>
      </c>
      <c r="M49" s="324">
        <v>3747.1339679591365</v>
      </c>
      <c r="N49" s="324">
        <v>3684.0543301602042</v>
      </c>
      <c r="O49" s="324">
        <v>3624.0269328999302</v>
      </c>
      <c r="P49" s="260">
        <v>146</v>
      </c>
      <c r="Q49" s="260" t="s">
        <v>78</v>
      </c>
      <c r="Z49" s="430"/>
    </row>
    <row r="50" spans="1:26" x14ac:dyDescent="0.2">
      <c r="A50" s="154" t="s">
        <v>79</v>
      </c>
      <c r="B50" s="342">
        <v>26042</v>
      </c>
      <c r="C50" s="342">
        <v>25208</v>
      </c>
      <c r="D50" s="342">
        <v>24919</v>
      </c>
      <c r="E50" s="319">
        <v>24724</v>
      </c>
      <c r="F50" s="324">
        <v>24343.305389221558</v>
      </c>
      <c r="G50" s="325">
        <v>23961.603649843171</v>
      </c>
      <c r="H50" s="325">
        <v>23605.080125463359</v>
      </c>
      <c r="I50" s="325">
        <v>23278.770459081836</v>
      </c>
      <c r="J50" s="325">
        <v>22969.581978899343</v>
      </c>
      <c r="K50" s="325">
        <v>22670.464784716281</v>
      </c>
      <c r="L50" s="324">
        <v>22387.461648132306</v>
      </c>
      <c r="M50" s="324">
        <v>22117.55118334759</v>
      </c>
      <c r="N50" s="324">
        <v>21865.769033361848</v>
      </c>
      <c r="O50" s="324">
        <v>21626.072426575422</v>
      </c>
      <c r="P50" s="260">
        <v>153</v>
      </c>
      <c r="Q50" s="260" t="s">
        <v>79</v>
      </c>
      <c r="Z50" s="430"/>
    </row>
    <row r="51" spans="1:26" x14ac:dyDescent="0.2">
      <c r="A51" s="154" t="s">
        <v>80</v>
      </c>
      <c r="B51" s="342">
        <v>7018</v>
      </c>
      <c r="C51" s="342">
        <v>7047</v>
      </c>
      <c r="D51" s="342">
        <v>7127</v>
      </c>
      <c r="E51" s="319">
        <v>7224</v>
      </c>
      <c r="F51" s="324">
        <v>7275.2839643652569</v>
      </c>
      <c r="G51" s="325">
        <v>7319.5289532293991</v>
      </c>
      <c r="H51" s="325">
        <v>7363.7739420935413</v>
      </c>
      <c r="I51" s="325">
        <v>7407.0133630289529</v>
      </c>
      <c r="J51" s="325">
        <v>7447.2360801781733</v>
      </c>
      <c r="K51" s="325">
        <v>7485.4476614699324</v>
      </c>
      <c r="L51" s="324">
        <v>7521.648106904232</v>
      </c>
      <c r="M51" s="324">
        <v>7558.8541202672604</v>
      </c>
      <c r="N51" s="324">
        <v>7596.0601336302898</v>
      </c>
      <c r="O51" s="324">
        <v>7632.2605790645885</v>
      </c>
      <c r="P51" s="260">
        <v>148</v>
      </c>
      <c r="Q51" s="260" t="s">
        <v>80</v>
      </c>
      <c r="Z51" s="430"/>
    </row>
    <row r="52" spans="1:26" x14ac:dyDescent="0.2">
      <c r="A52" s="154" t="s">
        <v>81</v>
      </c>
      <c r="B52" s="342">
        <v>5301</v>
      </c>
      <c r="C52" s="342">
        <v>5384</v>
      </c>
      <c r="D52" s="342">
        <v>5379</v>
      </c>
      <c r="E52" s="319">
        <v>5402</v>
      </c>
      <c r="F52" s="324">
        <v>5405.0117078609919</v>
      </c>
      <c r="G52" s="325">
        <v>5407.0195131016535</v>
      </c>
      <c r="H52" s="325">
        <v>5410.0312209626463</v>
      </c>
      <c r="I52" s="325">
        <v>5415.0507340643007</v>
      </c>
      <c r="J52" s="325">
        <v>5422.0780524066167</v>
      </c>
      <c r="K52" s="325">
        <v>5429.1053707489327</v>
      </c>
      <c r="L52" s="324">
        <v>5439.1443969522406</v>
      </c>
      <c r="M52" s="324">
        <v>5450.1873257758789</v>
      </c>
      <c r="N52" s="324">
        <v>5468.2575729418322</v>
      </c>
      <c r="O52" s="324">
        <v>5486.3278201077865</v>
      </c>
      <c r="P52" s="260">
        <v>149</v>
      </c>
      <c r="Q52" s="260" t="s">
        <v>81</v>
      </c>
      <c r="Z52" s="430"/>
    </row>
    <row r="53" spans="1:26" x14ac:dyDescent="0.2">
      <c r="A53" s="154" t="s">
        <v>82</v>
      </c>
      <c r="B53" s="342">
        <v>1837</v>
      </c>
      <c r="C53" s="342">
        <v>1852</v>
      </c>
      <c r="D53" s="342">
        <v>1814</v>
      </c>
      <c r="E53" s="319">
        <v>1794</v>
      </c>
      <c r="F53" s="324">
        <v>1764.8047138047139</v>
      </c>
      <c r="G53" s="325">
        <v>1735.6094276094277</v>
      </c>
      <c r="H53" s="325">
        <v>1710.4410774410776</v>
      </c>
      <c r="I53" s="325">
        <v>1687.2861952861956</v>
      </c>
      <c r="J53" s="325">
        <v>1662.1178451178455</v>
      </c>
      <c r="K53" s="325">
        <v>1639.9696969696972</v>
      </c>
      <c r="L53" s="324">
        <v>1618.8282828282831</v>
      </c>
      <c r="M53" s="324">
        <v>1599.7003367003369</v>
      </c>
      <c r="N53" s="324">
        <v>1581.5791245791247</v>
      </c>
      <c r="O53" s="324">
        <v>1564.4646464646466</v>
      </c>
      <c r="P53" s="260">
        <v>151</v>
      </c>
      <c r="Q53" s="260" t="s">
        <v>82</v>
      </c>
      <c r="Z53" s="430"/>
    </row>
    <row r="54" spans="1:26" x14ac:dyDescent="0.2">
      <c r="A54" s="154" t="s">
        <v>83</v>
      </c>
      <c r="B54" s="342">
        <v>4430</v>
      </c>
      <c r="C54" s="342">
        <v>4406</v>
      </c>
      <c r="D54" s="342">
        <v>4357</v>
      </c>
      <c r="E54" s="319">
        <v>4319</v>
      </c>
      <c r="F54" s="324">
        <v>4278.9721964782202</v>
      </c>
      <c r="G54" s="325">
        <v>4242.9471733086184</v>
      </c>
      <c r="H54" s="325">
        <v>4205.9214550509723</v>
      </c>
      <c r="I54" s="325">
        <v>4174.8999073215937</v>
      </c>
      <c r="J54" s="325">
        <v>4144.8790546802593</v>
      </c>
      <c r="K54" s="325">
        <v>4116.8595922150134</v>
      </c>
      <c r="L54" s="324">
        <v>4087.8394346617233</v>
      </c>
      <c r="M54" s="324">
        <v>4061.8213623725665</v>
      </c>
      <c r="N54" s="324">
        <v>4036.8039851714543</v>
      </c>
      <c r="O54" s="324">
        <v>4016.7900834105649</v>
      </c>
      <c r="P54" s="260">
        <v>152</v>
      </c>
      <c r="Q54" s="260" t="s">
        <v>83</v>
      </c>
      <c r="Z54" s="430"/>
    </row>
    <row r="55" spans="1:26" x14ac:dyDescent="0.2">
      <c r="A55" s="154" t="s">
        <v>84</v>
      </c>
      <c r="B55" s="342">
        <v>16184</v>
      </c>
      <c r="C55" s="342">
        <v>16280</v>
      </c>
      <c r="D55" s="342">
        <v>16123</v>
      </c>
      <c r="E55" s="319">
        <v>16015</v>
      </c>
      <c r="F55" s="324">
        <v>15940.140230601433</v>
      </c>
      <c r="G55" s="325">
        <v>15867.276721720162</v>
      </c>
      <c r="H55" s="325">
        <v>15799.403864132129</v>
      </c>
      <c r="I55" s="325">
        <v>15732.529136802745</v>
      </c>
      <c r="J55" s="325">
        <v>15675.635712059833</v>
      </c>
      <c r="K55" s="325">
        <v>15624.731068868807</v>
      </c>
      <c r="L55" s="324">
        <v>15583.807728264257</v>
      </c>
      <c r="M55" s="324">
        <v>15546.876908694298</v>
      </c>
      <c r="N55" s="324">
        <v>15511.942349641633</v>
      </c>
      <c r="O55" s="324">
        <v>15481.998441882206</v>
      </c>
      <c r="P55" s="260">
        <v>165</v>
      </c>
      <c r="Q55" s="260" t="s">
        <v>84</v>
      </c>
      <c r="Z55" s="430"/>
    </row>
    <row r="56" spans="1:26" x14ac:dyDescent="0.2">
      <c r="A56" s="154" t="s">
        <v>85</v>
      </c>
      <c r="B56" s="342">
        <v>77406</v>
      </c>
      <c r="C56" s="342">
        <v>77513</v>
      </c>
      <c r="D56" s="342">
        <v>78062</v>
      </c>
      <c r="E56" s="319">
        <v>78741</v>
      </c>
      <c r="F56" s="324">
        <v>79173.796987124035</v>
      </c>
      <c r="G56" s="325">
        <v>79538.468522571144</v>
      </c>
      <c r="H56" s="325">
        <v>79899.132678507827</v>
      </c>
      <c r="I56" s="325">
        <v>80246.772851035697</v>
      </c>
      <c r="J56" s="325">
        <v>80585.396419665136</v>
      </c>
      <c r="K56" s="325">
        <v>80902.981245864939</v>
      </c>
      <c r="L56" s="324">
        <v>81193.516260369492</v>
      </c>
      <c r="M56" s="324">
        <v>81455.999618301197</v>
      </c>
      <c r="N56" s="324">
        <v>81687.425785027241</v>
      </c>
      <c r="O56" s="324">
        <v>81873.768932261184</v>
      </c>
      <c r="P56" s="260">
        <v>167</v>
      </c>
      <c r="Q56" s="260" t="s">
        <v>85</v>
      </c>
      <c r="Z56" s="430"/>
    </row>
    <row r="57" spans="1:26" x14ac:dyDescent="0.2">
      <c r="A57" s="154" t="s">
        <v>86</v>
      </c>
      <c r="B57" s="342">
        <v>4969</v>
      </c>
      <c r="C57" s="342">
        <v>4990</v>
      </c>
      <c r="D57" s="342">
        <v>4916</v>
      </c>
      <c r="E57" s="319">
        <v>4848</v>
      </c>
      <c r="F57" s="324">
        <v>4796.0428689200335</v>
      </c>
      <c r="G57" s="325">
        <v>4748.0824402308335</v>
      </c>
      <c r="H57" s="325">
        <v>4710.11376751855</v>
      </c>
      <c r="I57" s="325">
        <v>4673.1442704039582</v>
      </c>
      <c r="J57" s="325">
        <v>4641.1706512778246</v>
      </c>
      <c r="K57" s="325">
        <v>4612.194558944766</v>
      </c>
      <c r="L57" s="324">
        <v>4587.2151690024739</v>
      </c>
      <c r="M57" s="324">
        <v>4564.2341302555651</v>
      </c>
      <c r="N57" s="324">
        <v>4545.2497938994229</v>
      </c>
      <c r="O57" s="324">
        <v>4528.263808738664</v>
      </c>
      <c r="P57" s="260">
        <v>169</v>
      </c>
      <c r="Q57" s="260" t="s">
        <v>86</v>
      </c>
      <c r="Z57" s="430"/>
    </row>
    <row r="58" spans="1:26" x14ac:dyDescent="0.2">
      <c r="A58" s="154" t="s">
        <v>87</v>
      </c>
      <c r="B58" s="342">
        <v>4597</v>
      </c>
      <c r="C58" s="342">
        <v>4540</v>
      </c>
      <c r="D58" s="342">
        <v>4590</v>
      </c>
      <c r="E58" s="319">
        <v>4552</v>
      </c>
      <c r="F58" s="324">
        <v>4510.0276619099895</v>
      </c>
      <c r="G58" s="325">
        <v>4467.0559824368829</v>
      </c>
      <c r="H58" s="325">
        <v>4425.0836443468716</v>
      </c>
      <c r="I58" s="325">
        <v>4383.1113062568602</v>
      </c>
      <c r="J58" s="325">
        <v>4344.1369923161355</v>
      </c>
      <c r="K58" s="325">
        <v>4307.1613611416024</v>
      </c>
      <c r="L58" s="324">
        <v>4273.1837541163559</v>
      </c>
      <c r="M58" s="324">
        <v>4239.2061470911085</v>
      </c>
      <c r="N58" s="324">
        <v>4209.2259055982431</v>
      </c>
      <c r="O58" s="324">
        <v>4180.2450054884739</v>
      </c>
      <c r="P58" s="260">
        <v>171</v>
      </c>
      <c r="Q58" s="260" t="s">
        <v>87</v>
      </c>
      <c r="Z58" s="430"/>
    </row>
    <row r="59" spans="1:26" x14ac:dyDescent="0.2">
      <c r="A59" s="154" t="s">
        <v>88</v>
      </c>
      <c r="B59" s="342">
        <v>4244</v>
      </c>
      <c r="C59" s="342">
        <v>4171</v>
      </c>
      <c r="D59" s="342">
        <v>4079</v>
      </c>
      <c r="E59" s="319">
        <v>4099</v>
      </c>
      <c r="F59" s="324">
        <v>4022.1629592601853</v>
      </c>
      <c r="G59" s="325">
        <v>3945.3259185203701</v>
      </c>
      <c r="H59" s="325">
        <v>3875.6603349162715</v>
      </c>
      <c r="I59" s="325">
        <v>3810.0927268182959</v>
      </c>
      <c r="J59" s="325">
        <v>3748.6230942264438</v>
      </c>
      <c r="K59" s="325">
        <v>3692.275931017246</v>
      </c>
      <c r="L59" s="324">
        <v>3635.9287678080486</v>
      </c>
      <c r="M59" s="324">
        <v>3586.7530617345669</v>
      </c>
      <c r="N59" s="324">
        <v>3539.626343414147</v>
      </c>
      <c r="O59" s="324">
        <v>3495.5731067233196</v>
      </c>
      <c r="P59" s="260">
        <v>172</v>
      </c>
      <c r="Q59" s="260" t="s">
        <v>88</v>
      </c>
      <c r="Z59" s="430"/>
    </row>
    <row r="60" spans="1:26" x14ac:dyDescent="0.2">
      <c r="A60" s="154" t="s">
        <v>89</v>
      </c>
      <c r="B60" s="342">
        <v>4420</v>
      </c>
      <c r="C60" s="342">
        <v>4352</v>
      </c>
      <c r="D60" s="342">
        <v>4259</v>
      </c>
      <c r="E60" s="319">
        <v>4160</v>
      </c>
      <c r="F60" s="324">
        <v>4073.1669865642993</v>
      </c>
      <c r="G60" s="325">
        <v>3990.3262955854125</v>
      </c>
      <c r="H60" s="325">
        <v>3912.4760076775433</v>
      </c>
      <c r="I60" s="325">
        <v>3839.6161228406909</v>
      </c>
      <c r="J60" s="325">
        <v>3771.7466410748557</v>
      </c>
      <c r="K60" s="325">
        <v>3708.8675623800382</v>
      </c>
      <c r="L60" s="324">
        <v>3650.9788867562379</v>
      </c>
      <c r="M60" s="324">
        <v>3596.084452975048</v>
      </c>
      <c r="N60" s="324">
        <v>3545.1823416506718</v>
      </c>
      <c r="O60" s="324">
        <v>3497.274472168906</v>
      </c>
      <c r="P60" s="260">
        <v>176</v>
      </c>
      <c r="Q60" s="260" t="s">
        <v>89</v>
      </c>
      <c r="Z60" s="430"/>
    </row>
    <row r="61" spans="1:26" x14ac:dyDescent="0.2">
      <c r="A61" s="154" t="s">
        <v>90</v>
      </c>
      <c r="B61" s="342">
        <v>1799</v>
      </c>
      <c r="C61" s="342">
        <v>1768</v>
      </c>
      <c r="D61" s="342">
        <v>1708</v>
      </c>
      <c r="E61" s="319">
        <v>1668</v>
      </c>
      <c r="F61" s="324">
        <v>1638.1075268817206</v>
      </c>
      <c r="G61" s="325">
        <v>1611.2043010752691</v>
      </c>
      <c r="H61" s="325">
        <v>1586.2939068100361</v>
      </c>
      <c r="I61" s="325">
        <v>1560.3870967741937</v>
      </c>
      <c r="J61" s="325">
        <v>1538.4659498207886</v>
      </c>
      <c r="K61" s="325">
        <v>1516.5448028673836</v>
      </c>
      <c r="L61" s="324">
        <v>1498.6093189964158</v>
      </c>
      <c r="M61" s="324">
        <v>1480.673835125448</v>
      </c>
      <c r="N61" s="324">
        <v>1466.7240143369174</v>
      </c>
      <c r="O61" s="324">
        <v>1453.7706093189963</v>
      </c>
      <c r="P61" s="260">
        <v>177</v>
      </c>
      <c r="Q61" s="260" t="s">
        <v>90</v>
      </c>
      <c r="Z61" s="430"/>
    </row>
    <row r="62" spans="1:26" x14ac:dyDescent="0.2">
      <c r="A62" s="154" t="s">
        <v>91</v>
      </c>
      <c r="B62" s="342">
        <v>5943</v>
      </c>
      <c r="C62" s="342">
        <v>5769</v>
      </c>
      <c r="D62" s="342">
        <v>5734</v>
      </c>
      <c r="E62" s="319">
        <v>5674</v>
      </c>
      <c r="F62" s="324">
        <v>5587.6041076487254</v>
      </c>
      <c r="G62" s="325">
        <v>5505.2266288951841</v>
      </c>
      <c r="H62" s="325">
        <v>5424.85835694051</v>
      </c>
      <c r="I62" s="325">
        <v>5347.5038951841361</v>
      </c>
      <c r="J62" s="325">
        <v>5274.1678470254956</v>
      </c>
      <c r="K62" s="325">
        <v>5202.8410056657222</v>
      </c>
      <c r="L62" s="324">
        <v>5133.5233711048159</v>
      </c>
      <c r="M62" s="324">
        <v>5065.2103399433427</v>
      </c>
      <c r="N62" s="324">
        <v>5000.9157223796028</v>
      </c>
      <c r="O62" s="324">
        <v>4938.6303116147301</v>
      </c>
      <c r="P62" s="260">
        <v>178</v>
      </c>
      <c r="Q62" s="260" t="s">
        <v>91</v>
      </c>
      <c r="Z62" s="430"/>
    </row>
    <row r="63" spans="1:26" x14ac:dyDescent="0.2">
      <c r="A63" s="154" t="s">
        <v>92</v>
      </c>
      <c r="B63" s="342">
        <v>144392</v>
      </c>
      <c r="C63" s="342">
        <v>145887</v>
      </c>
      <c r="D63" s="342">
        <v>147746</v>
      </c>
      <c r="E63" s="319">
        <v>149194</v>
      </c>
      <c r="F63" s="324">
        <v>150652.19184758235</v>
      </c>
      <c r="G63" s="325">
        <v>151963.565748867</v>
      </c>
      <c r="H63" s="325">
        <v>153235.98795011349</v>
      </c>
      <c r="I63" s="325">
        <v>154469.45845132184</v>
      </c>
      <c r="J63" s="325">
        <v>155656.98592171597</v>
      </c>
      <c r="K63" s="325">
        <v>156789.58150744086</v>
      </c>
      <c r="L63" s="324">
        <v>157856.25883156274</v>
      </c>
      <c r="M63" s="324">
        <v>158853.0228479238</v>
      </c>
      <c r="N63" s="324">
        <v>159772.88222574798</v>
      </c>
      <c r="O63" s="324">
        <v>160607.84687271979</v>
      </c>
      <c r="P63" s="260">
        <v>179</v>
      </c>
      <c r="Q63" s="260" t="s">
        <v>92</v>
      </c>
      <c r="Z63" s="430"/>
    </row>
    <row r="64" spans="1:26" x14ac:dyDescent="0.2">
      <c r="A64" s="154" t="s">
        <v>93</v>
      </c>
      <c r="B64" s="342">
        <v>1720</v>
      </c>
      <c r="C64" s="342">
        <v>1683</v>
      </c>
      <c r="D64" s="342">
        <v>1682</v>
      </c>
      <c r="E64" s="319">
        <v>1658</v>
      </c>
      <c r="F64" s="324">
        <v>1633.0150693188668</v>
      </c>
      <c r="G64" s="325">
        <v>1612.0277275467149</v>
      </c>
      <c r="H64" s="325">
        <v>1591.040385774563</v>
      </c>
      <c r="I64" s="325">
        <v>1571.0524412296563</v>
      </c>
      <c r="J64" s="325">
        <v>1550.0650994575044</v>
      </c>
      <c r="K64" s="325">
        <v>1533.075346594334</v>
      </c>
      <c r="L64" s="324">
        <v>1514.0867992766728</v>
      </c>
      <c r="M64" s="324">
        <v>1496.0976491862568</v>
      </c>
      <c r="N64" s="324">
        <v>1475.1103074141049</v>
      </c>
      <c r="O64" s="324">
        <v>1459.1199517781797</v>
      </c>
      <c r="P64" s="260">
        <v>181</v>
      </c>
      <c r="Q64" s="260" t="s">
        <v>93</v>
      </c>
      <c r="Z64" s="430"/>
    </row>
    <row r="65" spans="1:28" x14ac:dyDescent="0.2">
      <c r="A65" s="154" t="s">
        <v>94</v>
      </c>
      <c r="B65" s="342">
        <v>19640</v>
      </c>
      <c r="C65" s="342">
        <v>19347</v>
      </c>
      <c r="D65" s="342">
        <v>19182</v>
      </c>
      <c r="E65" s="319">
        <v>19116</v>
      </c>
      <c r="F65" s="324">
        <v>18840.905983810382</v>
      </c>
      <c r="G65" s="325">
        <v>18570.868842918368</v>
      </c>
      <c r="H65" s="325">
        <v>18312.968202740598</v>
      </c>
      <c r="I65" s="325">
        <v>18068.215438336596</v>
      </c>
      <c r="J65" s="325">
        <v>17828.519549230197</v>
      </c>
      <c r="K65" s="325">
        <v>17599.948785778528</v>
      </c>
      <c r="L65" s="324">
        <v>17383.514523041107</v>
      </c>
      <c r="M65" s="324">
        <v>17181.239511136973</v>
      </c>
      <c r="N65" s="324">
        <v>16991.100999947088</v>
      </c>
      <c r="O65" s="324">
        <v>16812.087614411932</v>
      </c>
      <c r="P65" s="260">
        <v>182</v>
      </c>
      <c r="Q65" s="260" t="s">
        <v>94</v>
      </c>
      <c r="Z65" s="430"/>
    </row>
    <row r="66" spans="1:28" x14ac:dyDescent="0.2">
      <c r="A66" s="154" t="s">
        <v>95</v>
      </c>
      <c r="B66" s="342">
        <v>44909</v>
      </c>
      <c r="C66" s="342">
        <v>45630</v>
      </c>
      <c r="D66" s="342">
        <v>46490</v>
      </c>
      <c r="E66" s="319">
        <v>46871</v>
      </c>
      <c r="F66" s="324">
        <v>47503.935364199097</v>
      </c>
      <c r="G66" s="325">
        <v>48101.100440939539</v>
      </c>
      <c r="H66" s="325">
        <v>48672.43142118206</v>
      </c>
      <c r="I66" s="325">
        <v>49219.915543118805</v>
      </c>
      <c r="J66" s="325">
        <v>49749.514521326215</v>
      </c>
      <c r="K66" s="325">
        <v>50262.221974900363</v>
      </c>
      <c r="L66" s="324">
        <v>50757.044284745185</v>
      </c>
      <c r="M66" s="324">
        <v>51236.962308148904</v>
      </c>
      <c r="N66" s="324">
        <v>51704.956902399739</v>
      </c>
      <c r="O66" s="324">
        <v>52157.053591113385</v>
      </c>
      <c r="P66" s="260">
        <v>186</v>
      </c>
      <c r="Q66" s="260" t="s">
        <v>95</v>
      </c>
      <c r="Z66" s="430"/>
    </row>
    <row r="67" spans="1:28" x14ac:dyDescent="0.2">
      <c r="A67" s="154" t="s">
        <v>96</v>
      </c>
      <c r="B67" s="342">
        <v>34269</v>
      </c>
      <c r="C67" s="342">
        <v>35848</v>
      </c>
      <c r="D67" s="342">
        <v>36339</v>
      </c>
      <c r="E67" s="319">
        <v>36551</v>
      </c>
      <c r="F67" s="324">
        <v>37107.995885776159</v>
      </c>
      <c r="G67" s="325">
        <v>37629.375693598595</v>
      </c>
      <c r="H67" s="325">
        <v>38128.990120449322</v>
      </c>
      <c r="I67" s="325">
        <v>38603.87115983219</v>
      </c>
      <c r="J67" s="325">
        <v>39055.997482744628</v>
      </c>
      <c r="K67" s="325">
        <v>39494.273108675065</v>
      </c>
      <c r="L67" s="324">
        <v>39919.687373122215</v>
      </c>
      <c r="M67" s="324">
        <v>40341.144295574515</v>
      </c>
      <c r="N67" s="324">
        <v>40754.686534037093</v>
      </c>
      <c r="O67" s="324">
        <v>41157.346082013813</v>
      </c>
      <c r="P67" s="260">
        <v>202</v>
      </c>
      <c r="Q67" s="260" t="s">
        <v>96</v>
      </c>
      <c r="Z67" s="430"/>
    </row>
    <row r="68" spans="1:28" x14ac:dyDescent="0.2">
      <c r="A68" s="154" t="s">
        <v>97</v>
      </c>
      <c r="B68" s="342">
        <v>2817</v>
      </c>
      <c r="C68" s="342">
        <v>2689</v>
      </c>
      <c r="D68" s="342">
        <v>2628</v>
      </c>
      <c r="E68" s="319">
        <v>2589</v>
      </c>
      <c r="F68" s="324">
        <v>2532.3877391643891</v>
      </c>
      <c r="G68" s="325">
        <v>2477.7973447871927</v>
      </c>
      <c r="H68" s="325">
        <v>2428.261616556033</v>
      </c>
      <c r="I68" s="325">
        <v>2381.7586880124954</v>
      </c>
      <c r="J68" s="325">
        <v>2337.2776259273724</v>
      </c>
      <c r="K68" s="325">
        <v>2297.8512299882864</v>
      </c>
      <c r="L68" s="324">
        <v>2259.4357672784072</v>
      </c>
      <c r="M68" s="324">
        <v>2226.0749707145651</v>
      </c>
      <c r="N68" s="324">
        <v>2195.7469738383447</v>
      </c>
      <c r="O68" s="324">
        <v>2165.4189769621244</v>
      </c>
      <c r="P68" s="260">
        <v>204</v>
      </c>
      <c r="Q68" s="260" t="s">
        <v>97</v>
      </c>
      <c r="Z68" s="430"/>
    </row>
    <row r="69" spans="1:28" x14ac:dyDescent="0.2">
      <c r="A69" s="154" t="s">
        <v>98</v>
      </c>
      <c r="B69" s="342">
        <v>36256</v>
      </c>
      <c r="C69" s="342">
        <v>36297</v>
      </c>
      <c r="D69" s="342">
        <v>36513</v>
      </c>
      <c r="E69" s="319">
        <v>36433</v>
      </c>
      <c r="F69" s="324">
        <v>36368.140638694131</v>
      </c>
      <c r="G69" s="325">
        <v>36259.376478965823</v>
      </c>
      <c r="H69" s="325">
        <v>36146.62097392638</v>
      </c>
      <c r="I69" s="325">
        <v>36032.867632559159</v>
      </c>
      <c r="J69" s="325">
        <v>35919.114291191938</v>
      </c>
      <c r="K69" s="325">
        <v>35808.354458808062</v>
      </c>
      <c r="L69" s="324">
        <v>35695.598953768626</v>
      </c>
      <c r="M69" s="324">
        <v>35578.852103418059</v>
      </c>
      <c r="N69" s="324">
        <v>35461.107416739709</v>
      </c>
      <c r="O69" s="324">
        <v>35343.362730061359</v>
      </c>
      <c r="P69" s="260">
        <v>205</v>
      </c>
      <c r="Q69" s="260" t="s">
        <v>98</v>
      </c>
      <c r="Z69" s="430"/>
    </row>
    <row r="70" spans="1:28" s="268" customFormat="1" x14ac:dyDescent="0.2">
      <c r="A70" s="265" t="s">
        <v>99</v>
      </c>
      <c r="B70" s="323">
        <v>12161</v>
      </c>
      <c r="C70" s="323">
        <v>12335</v>
      </c>
      <c r="D70" s="323">
        <v>12372</v>
      </c>
      <c r="E70" s="320">
        <v>12271</v>
      </c>
      <c r="F70" s="324">
        <v>12263.069154952334</v>
      </c>
      <c r="G70" s="325">
        <v>12245.224753595088</v>
      </c>
      <c r="H70" s="325">
        <v>12224.406285344967</v>
      </c>
      <c r="I70" s="325">
        <v>12202.596461463889</v>
      </c>
      <c r="J70" s="325">
        <v>12182.769348844726</v>
      </c>
      <c r="K70" s="325">
        <v>12159.968169332689</v>
      </c>
      <c r="L70" s="324">
        <v>12135.184278558736</v>
      </c>
      <c r="M70" s="324">
        <v>12111.391743415741</v>
      </c>
      <c r="N70" s="324">
        <v>12089.581919534661</v>
      </c>
      <c r="O70" s="324">
        <v>12069.754806915498</v>
      </c>
      <c r="P70" s="260">
        <v>208</v>
      </c>
      <c r="Q70" s="260" t="s">
        <v>99</v>
      </c>
      <c r="R70" s="348"/>
      <c r="S70" s="348"/>
      <c r="T70" s="348"/>
      <c r="U70" s="348"/>
      <c r="V70" s="348"/>
      <c r="W70" s="348"/>
      <c r="X70" s="348"/>
      <c r="Y70" s="348"/>
      <c r="Z70" s="430"/>
      <c r="AA70" s="348"/>
      <c r="AB70" s="348"/>
    </row>
    <row r="71" spans="1:28" s="268" customFormat="1" x14ac:dyDescent="0.2">
      <c r="A71" s="265" t="s">
        <v>100</v>
      </c>
      <c r="B71" s="323">
        <v>32321</v>
      </c>
      <c r="C71" s="323">
        <v>32959</v>
      </c>
      <c r="D71" s="323">
        <v>33473</v>
      </c>
      <c r="E71" s="320">
        <v>33951</v>
      </c>
      <c r="F71" s="324">
        <v>34319.880070859166</v>
      </c>
      <c r="G71" s="325">
        <v>34666.70752878653</v>
      </c>
      <c r="H71" s="325">
        <v>34998.499114260405</v>
      </c>
      <c r="I71" s="325">
        <v>35323.273959255981</v>
      </c>
      <c r="J71" s="325">
        <v>35644.039238263947</v>
      </c>
      <c r="K71" s="325">
        <v>35961.797342781225</v>
      </c>
      <c r="L71" s="324">
        <v>36277.55066430469</v>
      </c>
      <c r="M71" s="324">
        <v>36588.292028343662</v>
      </c>
      <c r="N71" s="324">
        <v>36899.03339238264</v>
      </c>
      <c r="O71" s="324">
        <v>37205.765190434009</v>
      </c>
      <c r="P71" s="260">
        <v>211</v>
      </c>
      <c r="Q71" s="260" t="s">
        <v>100</v>
      </c>
      <c r="R71" s="348"/>
      <c r="S71" s="348"/>
      <c r="T71" s="348"/>
      <c r="U71" s="348"/>
      <c r="V71" s="348"/>
      <c r="W71" s="348"/>
      <c r="X71" s="348"/>
      <c r="Y71" s="348"/>
      <c r="Z71" s="430"/>
      <c r="AA71" s="348"/>
      <c r="AB71" s="348"/>
    </row>
    <row r="72" spans="1:28" x14ac:dyDescent="0.2">
      <c r="A72" s="154" t="s">
        <v>101</v>
      </c>
      <c r="B72" s="342">
        <v>5232</v>
      </c>
      <c r="C72" s="342">
        <v>5154</v>
      </c>
      <c r="D72" s="342">
        <v>5114</v>
      </c>
      <c r="E72" s="319">
        <v>5062</v>
      </c>
      <c r="F72" s="324">
        <v>5001.9287974683548</v>
      </c>
      <c r="G72" s="325">
        <v>4944.8611550632913</v>
      </c>
      <c r="H72" s="325">
        <v>4885.7911392405067</v>
      </c>
      <c r="I72" s="325">
        <v>4830.7258702531653</v>
      </c>
      <c r="J72" s="325">
        <v>4776.6617879746836</v>
      </c>
      <c r="K72" s="325">
        <v>4725.6012658227855</v>
      </c>
      <c r="L72" s="324">
        <v>4677.5443037974692</v>
      </c>
      <c r="M72" s="324">
        <v>4631.489715189874</v>
      </c>
      <c r="N72" s="324">
        <v>4584.4339398734182</v>
      </c>
      <c r="O72" s="324">
        <v>4541.3829113924057</v>
      </c>
      <c r="P72" s="260">
        <v>213</v>
      </c>
      <c r="Q72" s="260" t="s">
        <v>101</v>
      </c>
      <c r="Z72" s="430"/>
    </row>
    <row r="73" spans="1:28" x14ac:dyDescent="0.2">
      <c r="A73" s="154" t="s">
        <v>102</v>
      </c>
      <c r="B73" s="342">
        <v>11138</v>
      </c>
      <c r="C73" s="342">
        <v>12528</v>
      </c>
      <c r="D73" s="342">
        <v>12394</v>
      </c>
      <c r="E73" s="319">
        <v>12478</v>
      </c>
      <c r="F73" s="324">
        <v>12359.11351791531</v>
      </c>
      <c r="G73" s="325">
        <v>12240.22703583062</v>
      </c>
      <c r="H73" s="325">
        <v>12127.43729641694</v>
      </c>
      <c r="I73" s="325">
        <v>12021.76042345277</v>
      </c>
      <c r="J73" s="325">
        <v>11921.164169381109</v>
      </c>
      <c r="K73" s="325">
        <v>11822.600162866451</v>
      </c>
      <c r="L73" s="324">
        <v>11727.084527687299</v>
      </c>
      <c r="M73" s="324">
        <v>11632.585016286648</v>
      </c>
      <c r="N73" s="324">
        <v>11540.117752443</v>
      </c>
      <c r="O73" s="324">
        <v>11452.73110749186</v>
      </c>
      <c r="P73" s="260">
        <v>214</v>
      </c>
      <c r="Q73" s="260" t="s">
        <v>102</v>
      </c>
      <c r="Z73" s="430"/>
    </row>
    <row r="74" spans="1:28" x14ac:dyDescent="0.2">
      <c r="A74" s="154" t="s">
        <v>103</v>
      </c>
      <c r="B74" s="342">
        <v>1285</v>
      </c>
      <c r="C74" s="342">
        <v>1269</v>
      </c>
      <c r="D74" s="342">
        <v>1217</v>
      </c>
      <c r="E74" s="319">
        <v>1186</v>
      </c>
      <c r="F74" s="324">
        <v>1161.0420875420875</v>
      </c>
      <c r="G74" s="325">
        <v>1139.0791245791245</v>
      </c>
      <c r="H74" s="325">
        <v>1120.1111111111111</v>
      </c>
      <c r="I74" s="325">
        <v>1102.1414141414141</v>
      </c>
      <c r="J74" s="325">
        <v>1084.1717171717171</v>
      </c>
      <c r="K74" s="325">
        <v>1070.1952861952861</v>
      </c>
      <c r="L74" s="324">
        <v>1054.2222222222222</v>
      </c>
      <c r="M74" s="324">
        <v>1042.2424242424242</v>
      </c>
      <c r="N74" s="324">
        <v>1033.2575757575758</v>
      </c>
      <c r="O74" s="324">
        <v>1023.2744107744107</v>
      </c>
      <c r="P74" s="260">
        <v>216</v>
      </c>
      <c r="Q74" s="260" t="s">
        <v>103</v>
      </c>
      <c r="Z74" s="430"/>
    </row>
    <row r="75" spans="1:28" x14ac:dyDescent="0.2">
      <c r="A75" s="154" t="s">
        <v>104</v>
      </c>
      <c r="B75" s="342">
        <v>5355</v>
      </c>
      <c r="C75" s="342">
        <v>5352</v>
      </c>
      <c r="D75" s="342">
        <v>5246</v>
      </c>
      <c r="E75" s="319">
        <v>5264</v>
      </c>
      <c r="F75" s="324">
        <v>5223.5621279047436</v>
      </c>
      <c r="G75" s="325">
        <v>5185.1461494142504</v>
      </c>
      <c r="H75" s="325">
        <v>5149.7630113309015</v>
      </c>
      <c r="I75" s="325">
        <v>5112.3579796427894</v>
      </c>
      <c r="J75" s="325">
        <v>5074.9529479546773</v>
      </c>
      <c r="K75" s="325">
        <v>5037.5479162665652</v>
      </c>
      <c r="L75" s="324">
        <v>4999.1319377760719</v>
      </c>
      <c r="M75" s="324">
        <v>4960.7159592855787</v>
      </c>
      <c r="N75" s="324">
        <v>4923.3109275974666</v>
      </c>
      <c r="O75" s="324">
        <v>4887.9277895141167</v>
      </c>
      <c r="P75" s="260">
        <v>217</v>
      </c>
      <c r="Q75" s="260" t="s">
        <v>104</v>
      </c>
      <c r="Z75" s="430"/>
    </row>
    <row r="76" spans="1:28" x14ac:dyDescent="0.2">
      <c r="A76" s="154" t="s">
        <v>105</v>
      </c>
      <c r="B76" s="342">
        <v>1167</v>
      </c>
      <c r="C76" s="342">
        <v>1200</v>
      </c>
      <c r="D76" s="342">
        <v>1188</v>
      </c>
      <c r="E76" s="319">
        <v>1159</v>
      </c>
      <c r="F76" s="324">
        <v>1143.136869118905</v>
      </c>
      <c r="G76" s="325">
        <v>1129.2566295979468</v>
      </c>
      <c r="H76" s="325">
        <v>1115.3763900769886</v>
      </c>
      <c r="I76" s="325">
        <v>1102.4875962360991</v>
      </c>
      <c r="J76" s="325">
        <v>1092.5731394354148</v>
      </c>
      <c r="K76" s="325">
        <v>1081.667236954662</v>
      </c>
      <c r="L76" s="324">
        <v>1071.7527801539777</v>
      </c>
      <c r="M76" s="324">
        <v>1059.8554319931566</v>
      </c>
      <c r="N76" s="324">
        <v>1049.9409751924723</v>
      </c>
      <c r="O76" s="324">
        <v>1040.0265183917879</v>
      </c>
      <c r="P76" s="260">
        <v>218</v>
      </c>
      <c r="Q76" s="260" t="s">
        <v>105</v>
      </c>
      <c r="Z76" s="430"/>
    </row>
    <row r="77" spans="1:28" x14ac:dyDescent="0.2">
      <c r="A77" s="154" t="s">
        <v>106</v>
      </c>
      <c r="B77" s="342">
        <v>8579</v>
      </c>
      <c r="C77" s="342">
        <v>8603</v>
      </c>
      <c r="D77" s="342">
        <v>8581</v>
      </c>
      <c r="E77" s="319">
        <v>8440</v>
      </c>
      <c r="F77" s="324">
        <v>8406.4059939124327</v>
      </c>
      <c r="G77" s="325">
        <v>8371.8239288222903</v>
      </c>
      <c r="H77" s="325">
        <v>8345.1463357527518</v>
      </c>
      <c r="I77" s="325">
        <v>8325.3851557012422</v>
      </c>
      <c r="J77" s="325">
        <v>8313.5284476703364</v>
      </c>
      <c r="K77" s="325">
        <v>8307.6000936548826</v>
      </c>
      <c r="L77" s="324">
        <v>8304.6359166471557</v>
      </c>
      <c r="M77" s="324">
        <v>8307.6000936548808</v>
      </c>
      <c r="N77" s="324">
        <v>8315.5045656754864</v>
      </c>
      <c r="O77" s="324">
        <v>8330.3254507141191</v>
      </c>
      <c r="P77" s="260">
        <v>224</v>
      </c>
      <c r="Q77" s="260" t="s">
        <v>106</v>
      </c>
      <c r="Z77" s="430"/>
    </row>
    <row r="78" spans="1:28" x14ac:dyDescent="0.2">
      <c r="A78" s="154" t="s">
        <v>107</v>
      </c>
      <c r="B78" s="342">
        <v>3837</v>
      </c>
      <c r="C78" s="342">
        <v>3665</v>
      </c>
      <c r="D78" s="342">
        <v>3625</v>
      </c>
      <c r="E78" s="319">
        <v>3573</v>
      </c>
      <c r="F78" s="324">
        <v>3503.5529577464786</v>
      </c>
      <c r="G78" s="325">
        <v>3434.1059154929576</v>
      </c>
      <c r="H78" s="325">
        <v>3368.6847887323943</v>
      </c>
      <c r="I78" s="325">
        <v>3306.2830985915489</v>
      </c>
      <c r="J78" s="325">
        <v>3247.9073239436616</v>
      </c>
      <c r="K78" s="325">
        <v>3191.5445070422529</v>
      </c>
      <c r="L78" s="324">
        <v>3140.2140845070417</v>
      </c>
      <c r="M78" s="324">
        <v>3090.896619718309</v>
      </c>
      <c r="N78" s="324">
        <v>3043.5921126760554</v>
      </c>
      <c r="O78" s="324">
        <v>2999.3070422535202</v>
      </c>
      <c r="P78" s="260">
        <v>226</v>
      </c>
      <c r="Q78" s="260" t="s">
        <v>107</v>
      </c>
      <c r="Z78" s="430"/>
    </row>
    <row r="79" spans="1:28" x14ac:dyDescent="0.2">
      <c r="A79" s="154" t="s">
        <v>108</v>
      </c>
      <c r="B79" s="342">
        <v>2317</v>
      </c>
      <c r="C79" s="342">
        <v>2240</v>
      </c>
      <c r="D79" s="342">
        <v>2216</v>
      </c>
      <c r="E79" s="319">
        <v>2170</v>
      </c>
      <c r="F79" s="324">
        <v>2138.1905634448008</v>
      </c>
      <c r="G79" s="325">
        <v>2109.3632615666515</v>
      </c>
      <c r="H79" s="325">
        <v>2081.5300045808522</v>
      </c>
      <c r="I79" s="325">
        <v>2054.6907924874026</v>
      </c>
      <c r="J79" s="325">
        <v>2029.8396701786533</v>
      </c>
      <c r="K79" s="325">
        <v>2004.9885478699039</v>
      </c>
      <c r="L79" s="324">
        <v>1981.1314704535043</v>
      </c>
      <c r="M79" s="324">
        <v>1959.2624828218047</v>
      </c>
      <c r="N79" s="324">
        <v>1938.3875400824552</v>
      </c>
      <c r="O79" s="324">
        <v>1917.5125973431057</v>
      </c>
      <c r="P79" s="260">
        <v>230</v>
      </c>
      <c r="Q79" s="260" t="s">
        <v>108</v>
      </c>
      <c r="Z79" s="430"/>
    </row>
    <row r="80" spans="1:28" x14ac:dyDescent="0.2">
      <c r="A80" s="154" t="s">
        <v>109</v>
      </c>
      <c r="B80" s="342">
        <v>1221</v>
      </c>
      <c r="C80" s="342">
        <v>1256</v>
      </c>
      <c r="D80" s="342">
        <v>1208</v>
      </c>
      <c r="E80" s="319">
        <v>1241</v>
      </c>
      <c r="F80" s="324">
        <v>1234.8207468879668</v>
      </c>
      <c r="G80" s="325">
        <v>1228.6414937759337</v>
      </c>
      <c r="H80" s="325">
        <v>1223.4921161825725</v>
      </c>
      <c r="I80" s="325">
        <v>1216.2829875518671</v>
      </c>
      <c r="J80" s="325">
        <v>1210.1037344398339</v>
      </c>
      <c r="K80" s="325">
        <v>1201.8647302904562</v>
      </c>
      <c r="L80" s="324">
        <v>1195.6854771784231</v>
      </c>
      <c r="M80" s="324">
        <v>1188.4763485477176</v>
      </c>
      <c r="N80" s="324">
        <v>1181.2672199170122</v>
      </c>
      <c r="O80" s="324">
        <v>1174.0580912863068</v>
      </c>
      <c r="P80" s="260">
        <v>231</v>
      </c>
      <c r="Q80" s="260" t="s">
        <v>109</v>
      </c>
      <c r="Z80" s="430"/>
    </row>
    <row r="81" spans="1:26" x14ac:dyDescent="0.2">
      <c r="A81" s="154" t="s">
        <v>110</v>
      </c>
      <c r="B81" s="342">
        <v>12896</v>
      </c>
      <c r="C81" s="342">
        <v>12750</v>
      </c>
      <c r="D81" s="342">
        <v>12618</v>
      </c>
      <c r="E81" s="319">
        <v>12518</v>
      </c>
      <c r="F81" s="324">
        <v>12385.598076923077</v>
      </c>
      <c r="G81" s="325">
        <v>12251.190064102566</v>
      </c>
      <c r="H81" s="325">
        <v>12119.791185897437</v>
      </c>
      <c r="I81" s="325">
        <v>11988.392307692307</v>
      </c>
      <c r="J81" s="325">
        <v>11862.008653846153</v>
      </c>
      <c r="K81" s="325">
        <v>11735.624999999998</v>
      </c>
      <c r="L81" s="324">
        <v>11617.265705128202</v>
      </c>
      <c r="M81" s="324">
        <v>11506.930769230767</v>
      </c>
      <c r="N81" s="324">
        <v>11397.598878205126</v>
      </c>
      <c r="O81" s="324">
        <v>11289.270032051279</v>
      </c>
      <c r="P81" s="260">
        <v>232</v>
      </c>
      <c r="Q81" s="260" t="s">
        <v>110</v>
      </c>
      <c r="Z81" s="430"/>
    </row>
    <row r="82" spans="1:26" x14ac:dyDescent="0.2">
      <c r="A82" s="154" t="s">
        <v>111</v>
      </c>
      <c r="B82" s="342">
        <v>15377</v>
      </c>
      <c r="C82" s="342">
        <v>15116</v>
      </c>
      <c r="D82" s="342">
        <v>15165</v>
      </c>
      <c r="E82" s="319">
        <v>15050</v>
      </c>
      <c r="F82" s="324">
        <v>14876.342293070098</v>
      </c>
      <c r="G82" s="325">
        <v>14702.684586140198</v>
      </c>
      <c r="H82" s="325">
        <v>14539.06489695191</v>
      </c>
      <c r="I82" s="325">
        <v>14380.464216634429</v>
      </c>
      <c r="J82" s="325">
        <v>14228.890148736078</v>
      </c>
      <c r="K82" s="325">
        <v>14085.346495031015</v>
      </c>
      <c r="L82" s="324">
        <v>13950.837057293404</v>
      </c>
      <c r="M82" s="324">
        <v>13826.365637297406</v>
      </c>
      <c r="N82" s="324">
        <v>13708.920829720535</v>
      </c>
      <c r="O82" s="324">
        <v>13597.498832788633</v>
      </c>
      <c r="P82" s="260">
        <v>233</v>
      </c>
      <c r="Q82" s="260" t="s">
        <v>111</v>
      </c>
      <c r="Z82" s="430"/>
    </row>
    <row r="83" spans="1:26" x14ac:dyDescent="0.2">
      <c r="A83" s="154" t="s">
        <v>112</v>
      </c>
      <c r="B83" s="342">
        <v>9858</v>
      </c>
      <c r="C83" s="342">
        <v>10284</v>
      </c>
      <c r="D83" s="342">
        <v>10270</v>
      </c>
      <c r="E83" s="319">
        <v>10253</v>
      </c>
      <c r="F83" s="324">
        <v>10398.209952153111</v>
      </c>
      <c r="G83" s="325">
        <v>10525.759234449761</v>
      </c>
      <c r="H83" s="325">
        <v>10653.308516746412</v>
      </c>
      <c r="I83" s="325">
        <v>10782.820095693782</v>
      </c>
      <c r="J83" s="325">
        <v>10913.312822966511</v>
      </c>
      <c r="K83" s="325">
        <v>11042.824401913878</v>
      </c>
      <c r="L83" s="324">
        <v>11171.354832535888</v>
      </c>
      <c r="M83" s="324">
        <v>11295.960669856462</v>
      </c>
      <c r="N83" s="324">
        <v>11419.585358851678</v>
      </c>
      <c r="O83" s="324">
        <v>11540.266602870817</v>
      </c>
      <c r="P83" s="260">
        <v>235</v>
      </c>
      <c r="Q83" s="260" t="s">
        <v>112</v>
      </c>
      <c r="Z83" s="430"/>
    </row>
    <row r="84" spans="1:26" x14ac:dyDescent="0.2">
      <c r="A84" s="154" t="s">
        <v>113</v>
      </c>
      <c r="B84" s="342">
        <v>4237</v>
      </c>
      <c r="C84" s="342">
        <v>4198</v>
      </c>
      <c r="D84" s="342">
        <v>4137</v>
      </c>
      <c r="E84" s="319">
        <v>4118</v>
      </c>
      <c r="F84" s="324">
        <v>4090.9540257844806</v>
      </c>
      <c r="G84" s="325">
        <v>4062.9063488202382</v>
      </c>
      <c r="H84" s="325">
        <v>4035.8603746047193</v>
      </c>
      <c r="I84" s="325">
        <v>4009.8161031379227</v>
      </c>
      <c r="J84" s="325">
        <v>3984.7735344198491</v>
      </c>
      <c r="K84" s="325">
        <v>3956.7258574556067</v>
      </c>
      <c r="L84" s="324">
        <v>3928.6781804913644</v>
      </c>
      <c r="M84" s="324">
        <v>3900.6305035271221</v>
      </c>
      <c r="N84" s="324">
        <v>3875.5879348090489</v>
      </c>
      <c r="O84" s="324">
        <v>3854.5521770858672</v>
      </c>
      <c r="P84" s="260">
        <v>236</v>
      </c>
      <c r="Q84" s="260" t="s">
        <v>113</v>
      </c>
      <c r="Z84" s="430"/>
    </row>
    <row r="85" spans="1:26" x14ac:dyDescent="0.2">
      <c r="A85" s="154" t="s">
        <v>114</v>
      </c>
      <c r="B85" s="342">
        <v>2148</v>
      </c>
      <c r="C85" s="342">
        <v>2029</v>
      </c>
      <c r="D85" s="342">
        <v>2035</v>
      </c>
      <c r="E85" s="319">
        <v>1985</v>
      </c>
      <c r="F85" s="324">
        <v>1949.2521260630315</v>
      </c>
      <c r="G85" s="325">
        <v>1916.4832416208105</v>
      </c>
      <c r="H85" s="325">
        <v>1882.7213606803402</v>
      </c>
      <c r="I85" s="325">
        <v>1852.9314657328666</v>
      </c>
      <c r="J85" s="325">
        <v>1823.141570785393</v>
      </c>
      <c r="K85" s="325">
        <v>1794.3446723361683</v>
      </c>
      <c r="L85" s="324">
        <v>1767.533766883442</v>
      </c>
      <c r="M85" s="324">
        <v>1742.708854427214</v>
      </c>
      <c r="N85" s="324">
        <v>1717.8839419709859</v>
      </c>
      <c r="O85" s="324">
        <v>1694.052026013007</v>
      </c>
      <c r="P85" s="260">
        <v>239</v>
      </c>
      <c r="Q85" s="260" t="s">
        <v>114</v>
      </c>
      <c r="Z85" s="430"/>
    </row>
    <row r="86" spans="1:26" x14ac:dyDescent="0.2">
      <c r="A86" s="154" t="s">
        <v>22</v>
      </c>
      <c r="B86" s="342">
        <v>20272</v>
      </c>
      <c r="C86" s="342">
        <v>19499</v>
      </c>
      <c r="D86" s="342">
        <v>19371</v>
      </c>
      <c r="E86" s="319">
        <v>19402</v>
      </c>
      <c r="F86" s="324">
        <v>19160.792519849561</v>
      </c>
      <c r="G86" s="325">
        <v>18915.531132469703</v>
      </c>
      <c r="H86" s="325">
        <v>18679.391036356039</v>
      </c>
      <c r="I86" s="325">
        <v>18462.506999582114</v>
      </c>
      <c r="J86" s="325">
        <v>18258.798161303803</v>
      </c>
      <c r="K86" s="325">
        <v>18064.210614291685</v>
      </c>
      <c r="L86" s="324">
        <v>17882.798265775178</v>
      </c>
      <c r="M86" s="324">
        <v>17711.52068533222</v>
      </c>
      <c r="N86" s="324">
        <v>17550.37787296281</v>
      </c>
      <c r="O86" s="324">
        <v>17399.369828666946</v>
      </c>
      <c r="P86" s="260">
        <v>240</v>
      </c>
      <c r="Q86" s="260" t="s">
        <v>22</v>
      </c>
      <c r="Z86" s="430"/>
    </row>
    <row r="87" spans="1:26" x14ac:dyDescent="0.2">
      <c r="A87" s="154" t="s">
        <v>115</v>
      </c>
      <c r="B87" s="342">
        <v>6982</v>
      </c>
      <c r="C87" s="342">
        <v>6996</v>
      </c>
      <c r="D87" s="342">
        <v>7030</v>
      </c>
      <c r="E87" s="319">
        <v>6954</v>
      </c>
      <c r="F87" s="324">
        <v>6876.9778481012663</v>
      </c>
      <c r="G87" s="325">
        <v>6799.9556962025326</v>
      </c>
      <c r="H87" s="325">
        <v>6724.9341196777914</v>
      </c>
      <c r="I87" s="325">
        <v>6658.9151323360193</v>
      </c>
      <c r="J87" s="325">
        <v>6591.8958573072505</v>
      </c>
      <c r="K87" s="325">
        <v>6532.8788837744542</v>
      </c>
      <c r="L87" s="324">
        <v>6472.8616225546612</v>
      </c>
      <c r="M87" s="324">
        <v>6418.8460874568482</v>
      </c>
      <c r="N87" s="324">
        <v>6365.830840046031</v>
      </c>
      <c r="O87" s="324">
        <v>6317.8170310701962</v>
      </c>
      <c r="P87" s="260">
        <v>320</v>
      </c>
      <c r="Q87" s="260" t="s">
        <v>115</v>
      </c>
      <c r="Z87" s="430"/>
    </row>
    <row r="88" spans="1:26" x14ac:dyDescent="0.2">
      <c r="A88" s="154" t="s">
        <v>116</v>
      </c>
      <c r="B88" s="342">
        <v>7869</v>
      </c>
      <c r="C88" s="342">
        <v>7771</v>
      </c>
      <c r="D88" s="342">
        <v>7691</v>
      </c>
      <c r="E88" s="319">
        <v>7604</v>
      </c>
      <c r="F88" s="324">
        <v>7528.0199842229813</v>
      </c>
      <c r="G88" s="325">
        <v>7458.0383907441492</v>
      </c>
      <c r="H88" s="325">
        <v>7390.0562713647123</v>
      </c>
      <c r="I88" s="325">
        <v>7325.0733631343683</v>
      </c>
      <c r="J88" s="325">
        <v>7262.0899290034195</v>
      </c>
      <c r="K88" s="325">
        <v>7200.1062319221683</v>
      </c>
      <c r="L88" s="324">
        <v>7142.1214830397075</v>
      </c>
      <c r="M88" s="324">
        <v>7086.1362082566411</v>
      </c>
      <c r="N88" s="324">
        <v>7035.1496187220628</v>
      </c>
      <c r="O88" s="324">
        <v>6985.162766237182</v>
      </c>
      <c r="P88" s="260">
        <v>241</v>
      </c>
      <c r="Q88" s="260" t="s">
        <v>116</v>
      </c>
      <c r="Z88" s="430"/>
    </row>
    <row r="89" spans="1:26" x14ac:dyDescent="0.2">
      <c r="A89" s="154" t="s">
        <v>349</v>
      </c>
      <c r="B89" s="342">
        <v>6552</v>
      </c>
      <c r="C89" s="342">
        <v>6549</v>
      </c>
      <c r="D89" s="342">
        <v>6462</v>
      </c>
      <c r="E89" s="319">
        <v>6371</v>
      </c>
      <c r="F89" s="324">
        <v>6315.3059631595379</v>
      </c>
      <c r="G89" s="325">
        <v>6260.6064626912266</v>
      </c>
      <c r="H89" s="325">
        <v>6212.868716827973</v>
      </c>
      <c r="I89" s="325">
        <v>6171.0981891976262</v>
      </c>
      <c r="J89" s="325">
        <v>6130.3221979394311</v>
      </c>
      <c r="K89" s="325">
        <v>6091.5352794255377</v>
      </c>
      <c r="L89" s="324">
        <v>6059.710115516702</v>
      </c>
      <c r="M89" s="324">
        <v>6030.8685607243197</v>
      </c>
      <c r="N89" s="324">
        <v>6005.0106150483907</v>
      </c>
      <c r="O89" s="324">
        <v>5983.1308148610669</v>
      </c>
      <c r="P89" s="260">
        <v>322</v>
      </c>
      <c r="Q89" s="260" t="s">
        <v>349</v>
      </c>
      <c r="Z89" s="430"/>
    </row>
    <row r="90" spans="1:26" x14ac:dyDescent="0.2">
      <c r="A90" s="154" t="s">
        <v>117</v>
      </c>
      <c r="B90" s="342">
        <v>18562</v>
      </c>
      <c r="C90" s="342">
        <v>19300</v>
      </c>
      <c r="D90" s="342">
        <v>19514</v>
      </c>
      <c r="E90" s="319">
        <v>19657</v>
      </c>
      <c r="F90" s="324">
        <v>19972.659854014597</v>
      </c>
      <c r="G90" s="325">
        <v>20264.571004278878</v>
      </c>
      <c r="H90" s="325">
        <v>20539.660156053356</v>
      </c>
      <c r="I90" s="325">
        <v>20789.021545431657</v>
      </c>
      <c r="J90" s="325">
        <v>21021.560936320151</v>
      </c>
      <c r="K90" s="325">
        <v>21241.23644601056</v>
      </c>
      <c r="L90" s="324">
        <v>21452.0061917946</v>
      </c>
      <c r="M90" s="324">
        <v>21659.807349609851</v>
      </c>
      <c r="N90" s="324">
        <v>21860.681802164596</v>
      </c>
      <c r="O90" s="324">
        <v>22056.608608104689</v>
      </c>
      <c r="P90" s="260">
        <v>244</v>
      </c>
      <c r="Q90" s="260" t="s">
        <v>117</v>
      </c>
      <c r="Z90" s="430"/>
    </row>
    <row r="91" spans="1:26" x14ac:dyDescent="0.2">
      <c r="A91" s="154" t="s">
        <v>118</v>
      </c>
      <c r="B91" s="342">
        <v>36805</v>
      </c>
      <c r="C91" s="342">
        <v>37676</v>
      </c>
      <c r="D91" s="342">
        <v>38211</v>
      </c>
      <c r="E91" s="319">
        <v>38461</v>
      </c>
      <c r="F91" s="324">
        <v>38943.20116603034</v>
      </c>
      <c r="G91" s="325">
        <v>39374.800975131569</v>
      </c>
      <c r="H91" s="325">
        <v>39786.557114848838</v>
      </c>
      <c r="I91" s="325">
        <v>40184.422685997328</v>
      </c>
      <c r="J91" s="325">
        <v>40569.389872046238</v>
      </c>
      <c r="K91" s="325">
        <v>40946.41959034156</v>
      </c>
      <c r="L91" s="324">
        <v>41317.496207821699</v>
      </c>
      <c r="M91" s="324">
        <v>41680.635357548243</v>
      </c>
      <c r="N91" s="324">
        <v>42034.844856052012</v>
      </c>
      <c r="O91" s="324">
        <v>42378.140336394601</v>
      </c>
      <c r="P91" s="260">
        <v>245</v>
      </c>
      <c r="Q91" s="260" t="s">
        <v>118</v>
      </c>
      <c r="Z91" s="430"/>
    </row>
    <row r="92" spans="1:26" x14ac:dyDescent="0.2">
      <c r="A92" s="154" t="s">
        <v>119</v>
      </c>
      <c r="B92" s="342">
        <v>9418</v>
      </c>
      <c r="C92" s="342">
        <v>9250</v>
      </c>
      <c r="D92" s="342">
        <v>9184</v>
      </c>
      <c r="E92" s="319">
        <v>9128</v>
      </c>
      <c r="F92" s="324">
        <v>9008.1729729729723</v>
      </c>
      <c r="G92" s="325">
        <v>8892.3737451737452</v>
      </c>
      <c r="H92" s="325">
        <v>8783.623166023166</v>
      </c>
      <c r="I92" s="325">
        <v>8673.8656370656372</v>
      </c>
      <c r="J92" s="325">
        <v>8570.1498069498066</v>
      </c>
      <c r="K92" s="325">
        <v>8466.4339768339778</v>
      </c>
      <c r="L92" s="324">
        <v>8367.7528957528975</v>
      </c>
      <c r="M92" s="324">
        <v>8274.1065637065658</v>
      </c>
      <c r="N92" s="324">
        <v>8185.4949806949826</v>
      </c>
      <c r="O92" s="324">
        <v>8099.9042471042494</v>
      </c>
      <c r="P92" s="260">
        <v>249</v>
      </c>
      <c r="Q92" s="260" t="s">
        <v>119</v>
      </c>
      <c r="Z92" s="430"/>
    </row>
    <row r="93" spans="1:26" x14ac:dyDescent="0.2">
      <c r="A93" s="154" t="s">
        <v>120</v>
      </c>
      <c r="B93" s="342">
        <v>1802</v>
      </c>
      <c r="C93" s="342">
        <v>1771</v>
      </c>
      <c r="D93" s="342">
        <v>1749</v>
      </c>
      <c r="E93" s="319">
        <v>1703</v>
      </c>
      <c r="F93" s="324">
        <v>1676.2823939570017</v>
      </c>
      <c r="G93" s="325">
        <v>1651.5438698431144</v>
      </c>
      <c r="H93" s="325">
        <v>1627.7948866937827</v>
      </c>
      <c r="I93" s="325">
        <v>1603.0563625798954</v>
      </c>
      <c r="J93" s="325">
        <v>1577.3282975014527</v>
      </c>
      <c r="K93" s="325">
        <v>1552.5897733875654</v>
      </c>
      <c r="L93" s="324">
        <v>1529.8303312027892</v>
      </c>
      <c r="M93" s="324">
        <v>1507.0708890180131</v>
      </c>
      <c r="N93" s="324">
        <v>1488.2696106914589</v>
      </c>
      <c r="O93" s="324">
        <v>1469.4683323649044</v>
      </c>
      <c r="P93" s="260">
        <v>250</v>
      </c>
      <c r="Q93" s="260" t="s">
        <v>120</v>
      </c>
      <c r="Z93" s="430"/>
    </row>
    <row r="94" spans="1:26" x14ac:dyDescent="0.2">
      <c r="A94" s="154" t="s">
        <v>121</v>
      </c>
      <c r="B94" s="342">
        <v>1535</v>
      </c>
      <c r="C94" s="342">
        <v>1554</v>
      </c>
      <c r="D94" s="342">
        <v>1523</v>
      </c>
      <c r="E94" s="319">
        <v>1492</v>
      </c>
      <c r="F94" s="324">
        <v>1475.2026490066226</v>
      </c>
      <c r="G94" s="325">
        <v>1459.3933774834438</v>
      </c>
      <c r="H94" s="325">
        <v>1442.5960264900662</v>
      </c>
      <c r="I94" s="325">
        <v>1427.7748344370859</v>
      </c>
      <c r="J94" s="325">
        <v>1411.9655629139072</v>
      </c>
      <c r="K94" s="325">
        <v>1398.1324503311257</v>
      </c>
      <c r="L94" s="324">
        <v>1384.2993377483442</v>
      </c>
      <c r="M94" s="324">
        <v>1369.4781456953642</v>
      </c>
      <c r="N94" s="324">
        <v>1354.656953642384</v>
      </c>
      <c r="O94" s="324">
        <v>1342.8</v>
      </c>
      <c r="P94" s="260">
        <v>256</v>
      </c>
      <c r="Q94" s="260" t="s">
        <v>121</v>
      </c>
      <c r="Z94" s="430"/>
    </row>
    <row r="95" spans="1:26" x14ac:dyDescent="0.2">
      <c r="A95" s="154" t="s">
        <v>122</v>
      </c>
      <c r="B95" s="342">
        <v>39701</v>
      </c>
      <c r="C95" s="342">
        <v>40722</v>
      </c>
      <c r="D95" s="342">
        <v>41154</v>
      </c>
      <c r="E95" s="319">
        <v>41635</v>
      </c>
      <c r="F95" s="324">
        <v>42092.59334805145</v>
      </c>
      <c r="G95" s="325">
        <v>42496.234641965828</v>
      </c>
      <c r="H95" s="325">
        <v>42893.881263198309</v>
      </c>
      <c r="I95" s="325">
        <v>43289.529660203494</v>
      </c>
      <c r="J95" s="325">
        <v>43685.178057208679</v>
      </c>
      <c r="K95" s="325">
        <v>44080.826454213857</v>
      </c>
      <c r="L95" s="324">
        <v>44476.474851219042</v>
      </c>
      <c r="M95" s="324">
        <v>44880.116145133419</v>
      </c>
      <c r="N95" s="324">
        <v>45282.758326934148</v>
      </c>
      <c r="O95" s="324">
        <v>45691.395181416781</v>
      </c>
      <c r="P95" s="260">
        <v>257</v>
      </c>
      <c r="Q95" s="260" t="s">
        <v>122</v>
      </c>
      <c r="Z95" s="430"/>
    </row>
    <row r="96" spans="1:26" x14ac:dyDescent="0.2">
      <c r="A96" s="154" t="s">
        <v>123</v>
      </c>
      <c r="B96" s="342">
        <v>9850</v>
      </c>
      <c r="C96" s="342">
        <v>9727</v>
      </c>
      <c r="D96" s="342">
        <v>9689</v>
      </c>
      <c r="E96" s="319">
        <v>9566</v>
      </c>
      <c r="F96" s="324">
        <v>9435.9728147218739</v>
      </c>
      <c r="G96" s="325">
        <v>9300.944583856126</v>
      </c>
      <c r="H96" s="325">
        <v>9172.9178168130475</v>
      </c>
      <c r="I96" s="325">
        <v>9049.8920953575889</v>
      </c>
      <c r="J96" s="325">
        <v>8930.8672103722274</v>
      </c>
      <c r="K96" s="325">
        <v>8810.8421162693412</v>
      </c>
      <c r="L96" s="324">
        <v>8694.817858636552</v>
      </c>
      <c r="M96" s="324">
        <v>8583.7946465913828</v>
      </c>
      <c r="N96" s="324">
        <v>8476.7722710163089</v>
      </c>
      <c r="O96" s="324">
        <v>8376.7513592639043</v>
      </c>
      <c r="P96" s="260">
        <v>260</v>
      </c>
      <c r="Q96" s="260" t="s">
        <v>123</v>
      </c>
      <c r="Z96" s="430"/>
    </row>
    <row r="97" spans="1:26" x14ac:dyDescent="0.2">
      <c r="A97" s="154" t="s">
        <v>124</v>
      </c>
      <c r="B97" s="342">
        <v>6378</v>
      </c>
      <c r="C97" s="342">
        <v>6637</v>
      </c>
      <c r="D97" s="342">
        <v>6822</v>
      </c>
      <c r="E97" s="319">
        <v>6837</v>
      </c>
      <c r="F97" s="324">
        <v>6882.7590571802702</v>
      </c>
      <c r="G97" s="325">
        <v>6924.5390659100822</v>
      </c>
      <c r="H97" s="325">
        <v>6964.3295504146654</v>
      </c>
      <c r="I97" s="325">
        <v>7007.104321257093</v>
      </c>
      <c r="J97" s="325">
        <v>7047.8895678742911</v>
      </c>
      <c r="K97" s="325">
        <v>7089.669576604103</v>
      </c>
      <c r="L97" s="324">
        <v>7131.4495853339149</v>
      </c>
      <c r="M97" s="324">
        <v>7171.2400698384972</v>
      </c>
      <c r="N97" s="324">
        <v>7213.0200785683101</v>
      </c>
      <c r="O97" s="324">
        <v>7249.8262767350489</v>
      </c>
      <c r="P97" s="260">
        <v>261</v>
      </c>
      <c r="Q97" s="260" t="s">
        <v>124</v>
      </c>
      <c r="Z97" s="430"/>
    </row>
    <row r="98" spans="1:26" x14ac:dyDescent="0.2">
      <c r="A98" s="154" t="s">
        <v>125</v>
      </c>
      <c r="B98" s="342">
        <v>7714</v>
      </c>
      <c r="C98" s="342">
        <v>7597</v>
      </c>
      <c r="D98" s="342">
        <v>7475</v>
      </c>
      <c r="E98" s="319">
        <v>7354</v>
      </c>
      <c r="F98" s="324">
        <v>7221.7842549713969</v>
      </c>
      <c r="G98" s="325">
        <v>7097.5815853990734</v>
      </c>
      <c r="H98" s="325">
        <v>6978.3870879869246</v>
      </c>
      <c r="I98" s="325">
        <v>6866.2040315990198</v>
      </c>
      <c r="J98" s="325">
        <v>6757.0258785072192</v>
      </c>
      <c r="K98" s="325">
        <v>6655.8608008716983</v>
      </c>
      <c r="L98" s="324">
        <v>6555.6973576682112</v>
      </c>
      <c r="M98" s="324">
        <v>6460.5420866248987</v>
      </c>
      <c r="N98" s="324">
        <v>6371.3966221737955</v>
      </c>
      <c r="O98" s="324">
        <v>6285.2560610187966</v>
      </c>
      <c r="P98" s="260">
        <v>263</v>
      </c>
      <c r="Q98" s="260" t="s">
        <v>125</v>
      </c>
      <c r="Z98" s="430"/>
    </row>
    <row r="99" spans="1:26" x14ac:dyDescent="0.2">
      <c r="A99" s="154" t="s">
        <v>126</v>
      </c>
      <c r="B99" s="342">
        <v>1003</v>
      </c>
      <c r="C99" s="342">
        <v>1064</v>
      </c>
      <c r="D99" s="342">
        <v>1035</v>
      </c>
      <c r="E99" s="319">
        <v>1011</v>
      </c>
      <c r="F99" s="324">
        <v>1002.1402142161636</v>
      </c>
      <c r="G99" s="325">
        <v>990.32716650438169</v>
      </c>
      <c r="H99" s="325">
        <v>981.46738072054529</v>
      </c>
      <c r="I99" s="325">
        <v>972.60759493670889</v>
      </c>
      <c r="J99" s="325">
        <v>965.71665043816938</v>
      </c>
      <c r="K99" s="325">
        <v>957.84128529698148</v>
      </c>
      <c r="L99" s="324">
        <v>952.91918208373909</v>
      </c>
      <c r="M99" s="324">
        <v>945.04381694255119</v>
      </c>
      <c r="N99" s="324">
        <v>940.12171372930868</v>
      </c>
      <c r="O99" s="324">
        <v>934.21518987341767</v>
      </c>
      <c r="P99" s="260">
        <v>265</v>
      </c>
      <c r="Q99" s="260" t="s">
        <v>126</v>
      </c>
      <c r="Z99" s="430"/>
    </row>
    <row r="100" spans="1:26" x14ac:dyDescent="0.2">
      <c r="A100" s="154" t="s">
        <v>127</v>
      </c>
      <c r="B100" s="342">
        <v>6930</v>
      </c>
      <c r="C100" s="342">
        <v>6903</v>
      </c>
      <c r="D100" s="342">
        <v>6766</v>
      </c>
      <c r="E100" s="319">
        <v>6668</v>
      </c>
      <c r="F100" s="324">
        <v>6594.3094384707292</v>
      </c>
      <c r="G100" s="325">
        <v>6522.6105137395461</v>
      </c>
      <c r="H100" s="325">
        <v>6458.8781362007167</v>
      </c>
      <c r="I100" s="325">
        <v>6399.1290322580644</v>
      </c>
      <c r="J100" s="325">
        <v>6345.3548387096771</v>
      </c>
      <c r="K100" s="325">
        <v>6296.5597371565109</v>
      </c>
      <c r="L100" s="324">
        <v>6249.7562724014333</v>
      </c>
      <c r="M100" s="324">
        <v>6204.9444444444434</v>
      </c>
      <c r="N100" s="324">
        <v>6162.1242532855422</v>
      </c>
      <c r="O100" s="324">
        <v>6123.2873357228182</v>
      </c>
      <c r="P100" s="260">
        <v>271</v>
      </c>
      <c r="Q100" s="260" t="s">
        <v>127</v>
      </c>
      <c r="Z100" s="430"/>
    </row>
    <row r="101" spans="1:26" x14ac:dyDescent="0.2">
      <c r="A101" s="154" t="s">
        <v>128</v>
      </c>
      <c r="B101" s="342">
        <v>47752</v>
      </c>
      <c r="C101" s="342">
        <v>48006</v>
      </c>
      <c r="D101" s="342">
        <v>48295</v>
      </c>
      <c r="E101" s="319">
        <v>48367</v>
      </c>
      <c r="F101" s="324">
        <v>48495.694010148094</v>
      </c>
      <c r="G101" s="325">
        <v>48578.497132956552</v>
      </c>
      <c r="H101" s="325">
        <v>48655.314487851152</v>
      </c>
      <c r="I101" s="325">
        <v>48718.165050946729</v>
      </c>
      <c r="J101" s="325">
        <v>48773.034590157164</v>
      </c>
      <c r="K101" s="325">
        <v>48812.939709582934</v>
      </c>
      <c r="L101" s="324">
        <v>48844.863805123547</v>
      </c>
      <c r="M101" s="324">
        <v>48861.823480879502</v>
      </c>
      <c r="N101" s="324">
        <v>48867.809248793368</v>
      </c>
      <c r="O101" s="324">
        <v>48865.813992822084</v>
      </c>
      <c r="P101" s="260">
        <v>272</v>
      </c>
      <c r="Q101" s="260" t="s">
        <v>128</v>
      </c>
      <c r="Z101" s="430"/>
    </row>
    <row r="102" spans="1:26" x14ac:dyDescent="0.2">
      <c r="A102" s="173" t="s">
        <v>390</v>
      </c>
      <c r="B102" s="347">
        <v>5506386</v>
      </c>
      <c r="C102" s="174">
        <v>5533611</v>
      </c>
      <c r="D102" s="174">
        <v>5573310</v>
      </c>
      <c r="E102" s="321">
        <v>5605317</v>
      </c>
      <c r="F102" s="324">
        <v>5634755.0991483154</v>
      </c>
      <c r="G102" s="325">
        <v>5659124.5818050373</v>
      </c>
      <c r="H102" s="325">
        <v>5683205.1154699614</v>
      </c>
      <c r="I102" s="325">
        <v>5706993.649962577</v>
      </c>
      <c r="J102" s="325">
        <v>5730436.0205329033</v>
      </c>
      <c r="K102" s="325">
        <v>5753520.8284119572</v>
      </c>
      <c r="L102" s="324">
        <v>5776185.3698676806</v>
      </c>
      <c r="M102" s="324">
        <v>5798417.9359263573</v>
      </c>
      <c r="N102" s="324">
        <v>5820261.7650889205</v>
      </c>
      <c r="O102" s="324">
        <v>5841671.3798028417</v>
      </c>
      <c r="Q102" s="260" t="s">
        <v>408</v>
      </c>
      <c r="Z102" s="430"/>
    </row>
    <row r="103" spans="1:26" x14ac:dyDescent="0.2">
      <c r="A103" s="154" t="s">
        <v>129</v>
      </c>
      <c r="B103" s="342">
        <v>3776</v>
      </c>
      <c r="C103" s="342">
        <v>3999</v>
      </c>
      <c r="D103" s="342">
        <v>4011</v>
      </c>
      <c r="E103" s="319">
        <v>3987</v>
      </c>
      <c r="F103" s="324">
        <v>3999.8740685543962</v>
      </c>
      <c r="G103" s="325">
        <v>4008.7868852459019</v>
      </c>
      <c r="H103" s="325">
        <v>4015.7190760059611</v>
      </c>
      <c r="I103" s="325">
        <v>4021.6609538002976</v>
      </c>
      <c r="J103" s="325">
        <v>4029.5834575260801</v>
      </c>
      <c r="K103" s="325">
        <v>4033.5447093889716</v>
      </c>
      <c r="L103" s="324">
        <v>4037.5059612518626</v>
      </c>
      <c r="M103" s="324">
        <v>4045.4284649776455</v>
      </c>
      <c r="N103" s="324">
        <v>4050.3800298062597</v>
      </c>
      <c r="O103" s="324">
        <v>4057.312220566319</v>
      </c>
      <c r="P103" s="260">
        <v>273</v>
      </c>
      <c r="Q103" s="260" t="s">
        <v>129</v>
      </c>
      <c r="Z103" s="430"/>
    </row>
    <row r="104" spans="1:26" x14ac:dyDescent="0.2">
      <c r="A104" s="154" t="s">
        <v>130</v>
      </c>
      <c r="B104" s="342">
        <v>2605</v>
      </c>
      <c r="C104" s="342">
        <v>2521</v>
      </c>
      <c r="D104" s="342">
        <v>2499</v>
      </c>
      <c r="E104" s="319">
        <v>2441</v>
      </c>
      <c r="F104" s="324">
        <v>2402.2854819032127</v>
      </c>
      <c r="G104" s="325">
        <v>2363.5709638064254</v>
      </c>
      <c r="H104" s="325">
        <v>2328.8271655144367</v>
      </c>
      <c r="I104" s="325">
        <v>2292.0980073200485</v>
      </c>
      <c r="J104" s="325">
        <v>2259.3395689304593</v>
      </c>
      <c r="K104" s="325">
        <v>2228.5664904432692</v>
      </c>
      <c r="L104" s="324">
        <v>2200.7714518096782</v>
      </c>
      <c r="M104" s="324">
        <v>2174.9617730784867</v>
      </c>
      <c r="N104" s="324">
        <v>2150.1447742984947</v>
      </c>
      <c r="O104" s="324">
        <v>2126.3204554697027</v>
      </c>
      <c r="P104" s="260">
        <v>275</v>
      </c>
      <c r="Q104" s="260" t="s">
        <v>130</v>
      </c>
      <c r="Z104" s="430"/>
    </row>
    <row r="105" spans="1:26" x14ac:dyDescent="0.2">
      <c r="A105" s="154" t="s">
        <v>131</v>
      </c>
      <c r="B105" s="342">
        <v>15020</v>
      </c>
      <c r="C105" s="342">
        <v>15157</v>
      </c>
      <c r="D105" s="342">
        <v>15136</v>
      </c>
      <c r="E105" s="319">
        <v>15071</v>
      </c>
      <c r="F105" s="324">
        <v>15129.441603680578</v>
      </c>
      <c r="G105" s="325">
        <v>15173.02517252711</v>
      </c>
      <c r="H105" s="325">
        <v>15204.722313506405</v>
      </c>
      <c r="I105" s="325">
        <v>15225.523562274069</v>
      </c>
      <c r="J105" s="325">
        <v>15243.353204074921</v>
      </c>
      <c r="K105" s="325">
        <v>15255.239631942157</v>
      </c>
      <c r="L105" s="324">
        <v>15262.173381531378</v>
      </c>
      <c r="M105" s="324">
        <v>15267.126059809394</v>
      </c>
      <c r="N105" s="324">
        <v>15272.078738087408</v>
      </c>
      <c r="O105" s="324">
        <v>15282.974630299042</v>
      </c>
      <c r="P105" s="260">
        <v>276</v>
      </c>
      <c r="Q105" s="260" t="s">
        <v>131</v>
      </c>
      <c r="Z105" s="430"/>
    </row>
    <row r="106" spans="1:26" x14ac:dyDescent="0.2">
      <c r="A106" s="154" t="s">
        <v>132</v>
      </c>
      <c r="B106" s="342">
        <v>2069</v>
      </c>
      <c r="C106" s="342">
        <v>2024</v>
      </c>
      <c r="D106" s="342">
        <v>2015</v>
      </c>
      <c r="E106" s="319">
        <v>1986</v>
      </c>
      <c r="F106" s="324">
        <v>1973.1167664670659</v>
      </c>
      <c r="G106" s="325">
        <v>1959.24251497006</v>
      </c>
      <c r="H106" s="325">
        <v>1945.3682634730542</v>
      </c>
      <c r="I106" s="325">
        <v>1932.4850299401201</v>
      </c>
      <c r="J106" s="325">
        <v>1920.5928143712576</v>
      </c>
      <c r="K106" s="325">
        <v>1906.7185628742516</v>
      </c>
      <c r="L106" s="324">
        <v>1896.808383233533</v>
      </c>
      <c r="M106" s="324">
        <v>1886.8982035928145</v>
      </c>
      <c r="N106" s="324">
        <v>1875.9970059880241</v>
      </c>
      <c r="O106" s="324">
        <v>1864.1047904191616</v>
      </c>
      <c r="P106" s="260">
        <v>280</v>
      </c>
      <c r="Q106" s="260" t="s">
        <v>132</v>
      </c>
      <c r="Z106" s="430"/>
    </row>
    <row r="107" spans="1:26" x14ac:dyDescent="0.2">
      <c r="A107" s="154" t="s">
        <v>319</v>
      </c>
      <c r="B107" s="342">
        <v>2277</v>
      </c>
      <c r="C107" s="342">
        <v>2227</v>
      </c>
      <c r="D107" s="342">
        <v>2207</v>
      </c>
      <c r="E107" s="319">
        <v>2186</v>
      </c>
      <c r="F107" s="324">
        <v>2164.9711406321576</v>
      </c>
      <c r="G107" s="325">
        <v>2142.9409070087036</v>
      </c>
      <c r="H107" s="325">
        <v>2120.9106733852495</v>
      </c>
      <c r="I107" s="325">
        <v>2101.8845625286303</v>
      </c>
      <c r="J107" s="325">
        <v>2082.8584516720111</v>
      </c>
      <c r="K107" s="325">
        <v>2064.8337150710036</v>
      </c>
      <c r="L107" s="324">
        <v>2047.8103527256073</v>
      </c>
      <c r="M107" s="324">
        <v>2034.7924874026571</v>
      </c>
      <c r="N107" s="324">
        <v>2020.7732478240955</v>
      </c>
      <c r="O107" s="324">
        <v>2007.7553825011455</v>
      </c>
      <c r="P107" s="260">
        <v>284</v>
      </c>
      <c r="Q107" s="260" t="s">
        <v>409</v>
      </c>
      <c r="Z107" s="430"/>
    </row>
    <row r="108" spans="1:26" x14ac:dyDescent="0.2">
      <c r="A108" s="154" t="s">
        <v>134</v>
      </c>
      <c r="B108" s="342">
        <v>51584</v>
      </c>
      <c r="C108" s="342">
        <v>50617</v>
      </c>
      <c r="D108" s="342">
        <v>50500</v>
      </c>
      <c r="E108" s="319">
        <v>50210</v>
      </c>
      <c r="F108" s="324">
        <v>49722.261198057204</v>
      </c>
      <c r="G108" s="325">
        <v>49220.472307169555</v>
      </c>
      <c r="H108" s="325">
        <v>48751.80148308049</v>
      </c>
      <c r="I108" s="325">
        <v>48309.223681317584</v>
      </c>
      <c r="J108" s="325">
        <v>47889.728168535512</v>
      </c>
      <c r="K108" s="325">
        <v>47488.297055825387</v>
      </c>
      <c r="L108" s="324">
        <v>47110.951809877872</v>
      </c>
      <c r="M108" s="324">
        <v>46745.649497311664</v>
      </c>
      <c r="N108" s="324">
        <v>46394.397273690309</v>
      </c>
      <c r="O108" s="324">
        <v>46062.213027922684</v>
      </c>
      <c r="P108" s="260">
        <v>285</v>
      </c>
      <c r="Q108" s="260" t="s">
        <v>134</v>
      </c>
      <c r="Z108" s="430"/>
    </row>
    <row r="109" spans="1:26" x14ac:dyDescent="0.2">
      <c r="A109" s="154" t="s">
        <v>135</v>
      </c>
      <c r="B109" s="342">
        <v>80732</v>
      </c>
      <c r="C109" s="342">
        <v>79429</v>
      </c>
      <c r="D109" s="342">
        <v>78880</v>
      </c>
      <c r="E109" s="319">
        <v>78386</v>
      </c>
      <c r="F109" s="324">
        <v>77589.983941400191</v>
      </c>
      <c r="G109" s="325">
        <v>76792.964079447804</v>
      </c>
      <c r="H109" s="325">
        <v>76030.0735314833</v>
      </c>
      <c r="I109" s="325">
        <v>75318.376954500622</v>
      </c>
      <c r="J109" s="325">
        <v>74627.760247922226</v>
      </c>
      <c r="K109" s="325">
        <v>73962.238625158454</v>
      </c>
      <c r="L109" s="324">
        <v>73320.808282856713</v>
      </c>
      <c r="M109" s="324">
        <v>72707.484434427359</v>
      </c>
      <c r="N109" s="324">
        <v>72111.225242991946</v>
      </c>
      <c r="O109" s="324">
        <v>71536.045921960816</v>
      </c>
      <c r="P109" s="260">
        <v>286</v>
      </c>
      <c r="Q109" s="260" t="s">
        <v>135</v>
      </c>
      <c r="Z109" s="430"/>
    </row>
    <row r="110" spans="1:26" x14ac:dyDescent="0.2">
      <c r="A110" s="154" t="s">
        <v>320</v>
      </c>
      <c r="B110" s="342">
        <v>6354</v>
      </c>
      <c r="C110" s="342">
        <v>6242</v>
      </c>
      <c r="D110" s="342">
        <v>6199</v>
      </c>
      <c r="E110" s="319">
        <v>6121</v>
      </c>
      <c r="F110" s="324">
        <v>6054.2399479081878</v>
      </c>
      <c r="G110" s="325">
        <v>5975.5228715611256</v>
      </c>
      <c r="H110" s="325">
        <v>5902.7843073416889</v>
      </c>
      <c r="I110" s="325">
        <v>5833.0349991860649</v>
      </c>
      <c r="J110" s="325">
        <v>5763.2856910304408</v>
      </c>
      <c r="K110" s="325">
        <v>5702.5041510662541</v>
      </c>
      <c r="L110" s="324">
        <v>5647.7011232296918</v>
      </c>
      <c r="M110" s="324">
        <v>5592.8980953931296</v>
      </c>
      <c r="N110" s="324">
        <v>5542.080742308317</v>
      </c>
      <c r="O110" s="324">
        <v>5495.249063975255</v>
      </c>
      <c r="P110" s="260">
        <v>287</v>
      </c>
      <c r="Q110" s="260" t="s">
        <v>320</v>
      </c>
      <c r="Z110" s="430"/>
    </row>
    <row r="111" spans="1:26" x14ac:dyDescent="0.2">
      <c r="A111" s="154" t="s">
        <v>136</v>
      </c>
      <c r="B111" s="342">
        <v>6390</v>
      </c>
      <c r="C111" s="342">
        <v>6405</v>
      </c>
      <c r="D111" s="342">
        <v>6368</v>
      </c>
      <c r="E111" s="319">
        <v>6342</v>
      </c>
      <c r="F111" s="324">
        <v>6318.0075662042873</v>
      </c>
      <c r="G111" s="325">
        <v>6291.0160781841105</v>
      </c>
      <c r="H111" s="325">
        <v>6265.0242749054223</v>
      </c>
      <c r="I111" s="325">
        <v>6239.0324716267332</v>
      </c>
      <c r="J111" s="325">
        <v>6213.0406683480451</v>
      </c>
      <c r="K111" s="325">
        <v>6188.0485498108446</v>
      </c>
      <c r="L111" s="324">
        <v>6168.0548549810837</v>
      </c>
      <c r="M111" s="324">
        <v>6150.0605296342992</v>
      </c>
      <c r="N111" s="324">
        <v>6133.0658890290033</v>
      </c>
      <c r="O111" s="324">
        <v>6117.0709331651951</v>
      </c>
      <c r="P111" s="260">
        <v>288</v>
      </c>
      <c r="Q111" s="260" t="s">
        <v>136</v>
      </c>
      <c r="Z111" s="430"/>
    </row>
    <row r="112" spans="1:26" x14ac:dyDescent="0.2">
      <c r="A112" s="154" t="s">
        <v>137</v>
      </c>
      <c r="B112" s="342">
        <v>7885</v>
      </c>
      <c r="C112" s="342">
        <v>7755</v>
      </c>
      <c r="D112" s="342">
        <v>7582</v>
      </c>
      <c r="E112" s="319">
        <v>7483</v>
      </c>
      <c r="F112" s="324">
        <v>7337.0638870208477</v>
      </c>
      <c r="G112" s="325">
        <v>7193.1406859448562</v>
      </c>
      <c r="H112" s="325">
        <v>7054.2497646267666</v>
      </c>
      <c r="I112" s="325">
        <v>6918.3782111634173</v>
      </c>
      <c r="J112" s="325">
        <v>6790.5583053127111</v>
      </c>
      <c r="K112" s="325">
        <v>6670.7900470746481</v>
      </c>
      <c r="L112" s="324">
        <v>6556.0540685944861</v>
      </c>
      <c r="M112" s="324">
        <v>6446.3503698722261</v>
      </c>
      <c r="N112" s="324">
        <v>6344.6983187626092</v>
      </c>
      <c r="O112" s="324">
        <v>6249.0850033624747</v>
      </c>
      <c r="P112" s="260">
        <v>290</v>
      </c>
      <c r="Q112" s="260" t="s">
        <v>137</v>
      </c>
      <c r="Z112" s="430"/>
    </row>
    <row r="113" spans="1:28" x14ac:dyDescent="0.2">
      <c r="A113" s="154" t="s">
        <v>138</v>
      </c>
      <c r="B113" s="342">
        <v>2137</v>
      </c>
      <c r="C113" s="342">
        <v>2119</v>
      </c>
      <c r="D113" s="342">
        <v>2092</v>
      </c>
      <c r="E113" s="319">
        <v>2038</v>
      </c>
      <c r="F113" s="324">
        <v>2007.331067961165</v>
      </c>
      <c r="G113" s="325">
        <v>1978.6407766990289</v>
      </c>
      <c r="H113" s="325">
        <v>1954.8970873786407</v>
      </c>
      <c r="I113" s="325">
        <v>1930.1640776699028</v>
      </c>
      <c r="J113" s="325">
        <v>1907.4097087378641</v>
      </c>
      <c r="K113" s="325">
        <v>1889.6019417475729</v>
      </c>
      <c r="L113" s="324">
        <v>1869.8155339805826</v>
      </c>
      <c r="M113" s="324">
        <v>1852.9970873786408</v>
      </c>
      <c r="N113" s="324">
        <v>1837.1679611650486</v>
      </c>
      <c r="O113" s="324">
        <v>1820.349514563107</v>
      </c>
      <c r="P113" s="260">
        <v>291</v>
      </c>
      <c r="Q113" s="260" t="s">
        <v>138</v>
      </c>
      <c r="Z113" s="430"/>
    </row>
    <row r="114" spans="1:28" s="268" customFormat="1" x14ac:dyDescent="0.2">
      <c r="A114" s="265" t="s">
        <v>139</v>
      </c>
      <c r="B114" s="323">
        <v>119862</v>
      </c>
      <c r="C114" s="323">
        <v>122594</v>
      </c>
      <c r="D114" s="323">
        <v>124021</v>
      </c>
      <c r="E114" s="320">
        <v>125666</v>
      </c>
      <c r="F114" s="324">
        <v>127141.25826939609</v>
      </c>
      <c r="G114" s="325">
        <v>128502.49657763205</v>
      </c>
      <c r="H114" s="325">
        <v>129826.72840724587</v>
      </c>
      <c r="I114" s="325">
        <v>131110.95323294387</v>
      </c>
      <c r="J114" s="325">
        <v>132350.17017923659</v>
      </c>
      <c r="K114" s="325">
        <v>133540.37854573241</v>
      </c>
      <c r="L114" s="324">
        <v>134671.57658145236</v>
      </c>
      <c r="M114" s="324">
        <v>135744.76446149437</v>
      </c>
      <c r="N114" s="324">
        <v>136756.94166056477</v>
      </c>
      <c r="O114" s="324">
        <v>137707.10800356561</v>
      </c>
      <c r="P114" s="260">
        <v>297</v>
      </c>
      <c r="Q114" s="260" t="s">
        <v>139</v>
      </c>
      <c r="R114" s="348"/>
      <c r="S114" s="348"/>
      <c r="T114" s="348"/>
      <c r="U114" s="348"/>
      <c r="V114" s="348"/>
      <c r="W114" s="348"/>
      <c r="X114" s="348"/>
      <c r="Y114" s="348"/>
      <c r="Z114" s="430"/>
      <c r="AA114" s="348"/>
      <c r="AB114" s="348"/>
    </row>
    <row r="115" spans="1:28" x14ac:dyDescent="0.2">
      <c r="A115" s="154" t="s">
        <v>140</v>
      </c>
      <c r="B115" s="342">
        <v>3432</v>
      </c>
      <c r="C115" s="342">
        <v>3437</v>
      </c>
      <c r="D115" s="342">
        <v>3381</v>
      </c>
      <c r="E115" s="319">
        <v>3335</v>
      </c>
      <c r="F115" s="324">
        <v>3297.1249252839211</v>
      </c>
      <c r="G115" s="325">
        <v>3258.2531380753139</v>
      </c>
      <c r="H115" s="325">
        <v>3219.3813508667063</v>
      </c>
      <c r="I115" s="325">
        <v>3188.4832635983262</v>
      </c>
      <c r="J115" s="325">
        <v>3157.5851763299461</v>
      </c>
      <c r="K115" s="325">
        <v>3129.677226539151</v>
      </c>
      <c r="L115" s="324">
        <v>3102.7659892408842</v>
      </c>
      <c r="M115" s="324">
        <v>3076.8514644351458</v>
      </c>
      <c r="N115" s="324">
        <v>3054.9237895995211</v>
      </c>
      <c r="O115" s="324">
        <v>3032.9961147638965</v>
      </c>
      <c r="P115" s="260">
        <v>300</v>
      </c>
      <c r="Q115" s="260" t="s">
        <v>140</v>
      </c>
      <c r="Z115" s="430"/>
    </row>
    <row r="116" spans="1:28" x14ac:dyDescent="0.2">
      <c r="A116" s="154" t="s">
        <v>141</v>
      </c>
      <c r="B116" s="342">
        <v>20125</v>
      </c>
      <c r="C116" s="342">
        <v>19890</v>
      </c>
      <c r="D116" s="342">
        <v>19759</v>
      </c>
      <c r="E116" s="319">
        <v>19509</v>
      </c>
      <c r="F116" s="319">
        <v>19255.974060593635</v>
      </c>
      <c r="G116" s="319">
        <v>19005.948428769163</v>
      </c>
      <c r="H116" s="319">
        <v>18759.923207053882</v>
      </c>
      <c r="I116" s="325">
        <v>18519.898600502387</v>
      </c>
      <c r="J116" s="325">
        <v>18277.873788896297</v>
      </c>
      <c r="K116" s="325">
        <v>18044.849900035886</v>
      </c>
      <c r="L116" s="324">
        <v>17816.826523811967</v>
      </c>
      <c r="M116" s="324">
        <v>17596.803967806431</v>
      </c>
      <c r="N116" s="324">
        <v>17384.782232019275</v>
      </c>
      <c r="O116" s="324">
        <v>17181.761418977803</v>
      </c>
      <c r="P116" s="260">
        <v>301</v>
      </c>
      <c r="Q116" s="260" t="s">
        <v>141</v>
      </c>
      <c r="Z116" s="430"/>
    </row>
    <row r="117" spans="1:28" x14ac:dyDescent="0.2">
      <c r="A117" s="154" t="s">
        <v>142</v>
      </c>
      <c r="B117" s="342">
        <v>956</v>
      </c>
      <c r="C117" s="342">
        <v>950</v>
      </c>
      <c r="D117" s="342">
        <v>949</v>
      </c>
      <c r="E117" s="319">
        <v>970</v>
      </c>
      <c r="F117" s="324">
        <v>980.10416666666674</v>
      </c>
      <c r="G117" s="325">
        <v>990.20833333333337</v>
      </c>
      <c r="H117" s="325">
        <v>999.30208333333337</v>
      </c>
      <c r="I117" s="325">
        <v>1008.3958333333333</v>
      </c>
      <c r="J117" s="325">
        <v>1020.5208333333333</v>
      </c>
      <c r="K117" s="325">
        <v>1027.59375</v>
      </c>
      <c r="L117" s="324">
        <v>1036.6875</v>
      </c>
      <c r="M117" s="324">
        <v>1045.78125</v>
      </c>
      <c r="N117" s="324">
        <v>1051.84375</v>
      </c>
      <c r="O117" s="324">
        <v>1058.9166666666667</v>
      </c>
      <c r="P117" s="260">
        <v>304</v>
      </c>
      <c r="Q117" s="260" t="s">
        <v>142</v>
      </c>
      <c r="Z117" s="430"/>
    </row>
    <row r="118" spans="1:28" x14ac:dyDescent="0.2">
      <c r="A118" s="154" t="s">
        <v>143</v>
      </c>
      <c r="B118" s="342">
        <v>14675</v>
      </c>
      <c r="C118" s="342">
        <v>15146</v>
      </c>
      <c r="D118" s="342">
        <v>15019</v>
      </c>
      <c r="E118" s="319">
        <v>14876</v>
      </c>
      <c r="F118" s="324">
        <v>14817.382221331731</v>
      </c>
      <c r="G118" s="325">
        <v>14746.842182595339</v>
      </c>
      <c r="H118" s="325">
        <v>14675.308622186603</v>
      </c>
      <c r="I118" s="325">
        <v>14602.781540105525</v>
      </c>
      <c r="J118" s="325">
        <v>14530.254458024447</v>
      </c>
      <c r="K118" s="325">
        <v>14462.694984305084</v>
      </c>
      <c r="L118" s="324">
        <v>14396.129032258066</v>
      </c>
      <c r="M118" s="324">
        <v>14334.530688572766</v>
      </c>
      <c r="N118" s="324">
        <v>14277.899953249183</v>
      </c>
      <c r="O118" s="324">
        <v>14227.230347959663</v>
      </c>
      <c r="P118" s="260">
        <v>305</v>
      </c>
      <c r="Q118" s="260" t="s">
        <v>143</v>
      </c>
      <c r="Z118" s="430"/>
    </row>
    <row r="119" spans="1:28" x14ac:dyDescent="0.2">
      <c r="A119" s="154" t="s">
        <v>144</v>
      </c>
      <c r="B119" s="342">
        <v>1284</v>
      </c>
      <c r="C119" s="342">
        <v>1196</v>
      </c>
      <c r="D119" s="342">
        <v>1174</v>
      </c>
      <c r="E119" s="319">
        <v>1155</v>
      </c>
      <c r="F119" s="324">
        <v>1124.7115384615383</v>
      </c>
      <c r="G119" s="325">
        <v>1094.4230769230769</v>
      </c>
      <c r="H119" s="325">
        <v>1065.1442307692307</v>
      </c>
      <c r="I119" s="325">
        <v>1035.8653846153845</v>
      </c>
      <c r="J119" s="325">
        <v>1006.5865384615383</v>
      </c>
      <c r="K119" s="325">
        <v>980.33653846153834</v>
      </c>
      <c r="L119" s="324">
        <v>955.0961538461537</v>
      </c>
      <c r="M119" s="324">
        <v>930.86538461538453</v>
      </c>
      <c r="N119" s="324">
        <v>909.66346153846143</v>
      </c>
      <c r="O119" s="324">
        <v>889.4711538461537</v>
      </c>
      <c r="P119" s="260">
        <v>312</v>
      </c>
      <c r="Q119" s="260" t="s">
        <v>144</v>
      </c>
      <c r="Z119" s="430"/>
    </row>
    <row r="120" spans="1:28" x14ac:dyDescent="0.2">
      <c r="A120" s="154" t="s">
        <v>145</v>
      </c>
      <c r="B120" s="342">
        <v>4284</v>
      </c>
      <c r="C120" s="342">
        <v>4198</v>
      </c>
      <c r="D120" s="342">
        <v>4114</v>
      </c>
      <c r="E120" s="319">
        <v>4093</v>
      </c>
      <c r="F120" s="324">
        <v>4032.3629629629627</v>
      </c>
      <c r="G120" s="325">
        <v>3976.7790123456784</v>
      </c>
      <c r="H120" s="325">
        <v>3927.2587654320982</v>
      </c>
      <c r="I120" s="325">
        <v>3881.7809876543206</v>
      </c>
      <c r="J120" s="325">
        <v>3839.3350617283945</v>
      </c>
      <c r="K120" s="325">
        <v>3801.942222222222</v>
      </c>
      <c r="L120" s="324">
        <v>3765.5599999999995</v>
      </c>
      <c r="M120" s="324">
        <v>3734.2308641975301</v>
      </c>
      <c r="N120" s="324">
        <v>3704.9229629629622</v>
      </c>
      <c r="O120" s="324">
        <v>3678.6469135802463</v>
      </c>
      <c r="P120" s="260">
        <v>316</v>
      </c>
      <c r="Q120" s="260" t="s">
        <v>145</v>
      </c>
      <c r="Z120" s="430"/>
    </row>
    <row r="121" spans="1:28" x14ac:dyDescent="0.2">
      <c r="A121" s="154" t="s">
        <v>146</v>
      </c>
      <c r="B121" s="342">
        <v>2531</v>
      </c>
      <c r="C121" s="342">
        <v>2474</v>
      </c>
      <c r="D121" s="342">
        <v>2440</v>
      </c>
      <c r="E121" s="319">
        <v>2373</v>
      </c>
      <c r="F121" s="324">
        <v>2346.3703241895259</v>
      </c>
      <c r="G121" s="325">
        <v>2317.7680798004985</v>
      </c>
      <c r="H121" s="325">
        <v>2291.1384039900249</v>
      </c>
      <c r="I121" s="325">
        <v>2264.5087281795509</v>
      </c>
      <c r="J121" s="325">
        <v>2239.8516209476306</v>
      </c>
      <c r="K121" s="325">
        <v>2219.1396508728176</v>
      </c>
      <c r="L121" s="324">
        <v>2198.4276807980045</v>
      </c>
      <c r="M121" s="324">
        <v>2179.6882793017453</v>
      </c>
      <c r="N121" s="324">
        <v>2160.9488778054861</v>
      </c>
      <c r="O121" s="324">
        <v>2148.1271820448878</v>
      </c>
      <c r="P121" s="260">
        <v>317</v>
      </c>
      <c r="Q121" s="260" t="s">
        <v>146</v>
      </c>
      <c r="Z121" s="430"/>
    </row>
    <row r="122" spans="1:28" x14ac:dyDescent="0.2">
      <c r="A122" s="154" t="s">
        <v>147</v>
      </c>
      <c r="B122" s="342">
        <v>120373</v>
      </c>
      <c r="C122" s="342">
        <v>120175</v>
      </c>
      <c r="D122" s="342">
        <v>120693</v>
      </c>
      <c r="E122" s="319">
        <v>121337</v>
      </c>
      <c r="F122" s="319">
        <v>121709.36519328812</v>
      </c>
      <c r="G122" s="319">
        <v>121963.61454569452</v>
      </c>
      <c r="H122" s="319">
        <v>122184.83150192215</v>
      </c>
      <c r="I122" s="325">
        <v>122388.0307875068</v>
      </c>
      <c r="J122" s="325">
        <v>122568.20749393653</v>
      </c>
      <c r="K122" s="325">
        <v>122732.36849312807</v>
      </c>
      <c r="L122" s="324">
        <v>122873.5069131647</v>
      </c>
      <c r="M122" s="324">
        <v>122998.62962596313</v>
      </c>
      <c r="N122" s="324">
        <v>123113.74252173769</v>
      </c>
      <c r="O122" s="324">
        <v>123206.83382005972</v>
      </c>
      <c r="P122" s="260">
        <v>398</v>
      </c>
      <c r="Q122" s="260" t="s">
        <v>147</v>
      </c>
      <c r="Z122" s="430"/>
    </row>
    <row r="123" spans="1:28" x14ac:dyDescent="0.2">
      <c r="A123" s="154" t="s">
        <v>148</v>
      </c>
      <c r="B123" s="342">
        <v>8092</v>
      </c>
      <c r="C123" s="342">
        <v>7817</v>
      </c>
      <c r="D123" s="342">
        <v>7682</v>
      </c>
      <c r="E123" s="319">
        <v>7656</v>
      </c>
      <c r="F123" s="324">
        <v>7592.7189713985836</v>
      </c>
      <c r="G123" s="325">
        <v>7524.4156389399113</v>
      </c>
      <c r="H123" s="325">
        <v>7459.1256887955924</v>
      </c>
      <c r="I123" s="325">
        <v>7390.8223563369202</v>
      </c>
      <c r="J123" s="325">
        <v>7318.5011807924438</v>
      </c>
      <c r="K123" s="325">
        <v>7250.1978483337716</v>
      </c>
      <c r="L123" s="324">
        <v>7183.903437418001</v>
      </c>
      <c r="M123" s="324">
        <v>7120.6224088165845</v>
      </c>
      <c r="N123" s="324">
        <v>7060.3547625295205</v>
      </c>
      <c r="O123" s="324">
        <v>7007.1183416426138</v>
      </c>
      <c r="P123" s="260">
        <v>399</v>
      </c>
      <c r="Q123" s="260" t="s">
        <v>148</v>
      </c>
      <c r="Z123" s="430"/>
    </row>
    <row r="124" spans="1:28" x14ac:dyDescent="0.2">
      <c r="A124" s="154" t="s">
        <v>149</v>
      </c>
      <c r="B124" s="342">
        <v>8668</v>
      </c>
      <c r="C124" s="342">
        <v>8366</v>
      </c>
      <c r="D124" s="342">
        <v>8441</v>
      </c>
      <c r="E124" s="319">
        <v>8479</v>
      </c>
      <c r="F124" s="324">
        <v>8438.6766139579122</v>
      </c>
      <c r="G124" s="325">
        <v>8391.2966353584598</v>
      </c>
      <c r="H124" s="325">
        <v>8348.9570800142683</v>
      </c>
      <c r="I124" s="325">
        <v>8307.6256093211286</v>
      </c>
      <c r="J124" s="325">
        <v>8266.294138627989</v>
      </c>
      <c r="K124" s="325">
        <v>8227.9869218880049</v>
      </c>
      <c r="L124" s="324">
        <v>8193.7120437522299</v>
      </c>
      <c r="M124" s="324">
        <v>8161.4533349185594</v>
      </c>
      <c r="N124" s="324">
        <v>8133.2269646890982</v>
      </c>
      <c r="O124" s="324">
        <v>8112.0571870170015</v>
      </c>
      <c r="P124" s="260">
        <v>400</v>
      </c>
      <c r="Q124" s="260" t="s">
        <v>149</v>
      </c>
      <c r="Z124" s="430"/>
    </row>
    <row r="125" spans="1:28" x14ac:dyDescent="0.2">
      <c r="A125" s="154" t="s">
        <v>150</v>
      </c>
      <c r="B125" s="342">
        <v>2579</v>
      </c>
      <c r="C125" s="342">
        <v>2518</v>
      </c>
      <c r="D125" s="342">
        <v>2449</v>
      </c>
      <c r="E125" s="319">
        <v>2429</v>
      </c>
      <c r="F125" s="324">
        <v>2394.703488372093</v>
      </c>
      <c r="G125" s="325">
        <v>2361.4156976744189</v>
      </c>
      <c r="H125" s="325">
        <v>2333.171511627907</v>
      </c>
      <c r="I125" s="325">
        <v>2312.9970930232557</v>
      </c>
      <c r="J125" s="325">
        <v>2294.8401162790697</v>
      </c>
      <c r="K125" s="325">
        <v>2279.7093023255811</v>
      </c>
      <c r="L125" s="324">
        <v>2268.6133720930229</v>
      </c>
      <c r="M125" s="324">
        <v>2258.5261627906971</v>
      </c>
      <c r="N125" s="324">
        <v>2247.4302325581389</v>
      </c>
      <c r="O125" s="324">
        <v>2238.3517441860458</v>
      </c>
      <c r="P125" s="260">
        <v>407</v>
      </c>
      <c r="Q125" s="260" t="s">
        <v>150</v>
      </c>
      <c r="Z125" s="430"/>
    </row>
    <row r="126" spans="1:28" s="268" customFormat="1" x14ac:dyDescent="0.2">
      <c r="A126" s="265" t="s">
        <v>151</v>
      </c>
      <c r="B126" s="323">
        <v>9300</v>
      </c>
      <c r="C126" s="323">
        <v>9099</v>
      </c>
      <c r="D126" s="323">
        <v>8975</v>
      </c>
      <c r="E126" s="320">
        <v>8865</v>
      </c>
      <c r="F126" s="324">
        <v>8742.9035899751634</v>
      </c>
      <c r="G126" s="325">
        <v>8623.8095506886439</v>
      </c>
      <c r="H126" s="325">
        <v>8508.7186723865434</v>
      </c>
      <c r="I126" s="325">
        <v>8391.6262135922334</v>
      </c>
      <c r="J126" s="325">
        <v>8282.5400767667652</v>
      </c>
      <c r="K126" s="325">
        <v>8177.457100925717</v>
      </c>
      <c r="L126" s="324">
        <v>8080.3804470535115</v>
      </c>
      <c r="M126" s="324">
        <v>7987.306954165726</v>
      </c>
      <c r="N126" s="324">
        <v>7902.2397832467832</v>
      </c>
      <c r="O126" s="324">
        <v>7822.1765635583661</v>
      </c>
      <c r="P126" s="260">
        <v>402</v>
      </c>
      <c r="Q126" s="260" t="s">
        <v>151</v>
      </c>
      <c r="R126" s="348"/>
      <c r="S126" s="348"/>
      <c r="T126" s="348"/>
      <c r="U126" s="348"/>
      <c r="V126" s="348"/>
      <c r="W126" s="348"/>
      <c r="X126" s="348"/>
      <c r="Y126" s="348"/>
      <c r="Z126" s="430"/>
      <c r="AA126" s="348"/>
      <c r="AB126" s="348"/>
    </row>
    <row r="127" spans="1:28" x14ac:dyDescent="0.2">
      <c r="A127" s="154" t="s">
        <v>152</v>
      </c>
      <c r="B127" s="342">
        <v>2921</v>
      </c>
      <c r="C127" s="342">
        <v>2820</v>
      </c>
      <c r="D127" s="342">
        <v>2789</v>
      </c>
      <c r="E127" s="319">
        <v>2758</v>
      </c>
      <c r="F127" s="324">
        <v>2708.7320452059789</v>
      </c>
      <c r="G127" s="325">
        <v>2659.4640904119578</v>
      </c>
      <c r="H127" s="325">
        <v>2611.2016040831209</v>
      </c>
      <c r="I127" s="325">
        <v>2564.9500546846521</v>
      </c>
      <c r="J127" s="325">
        <v>2524.7313160772878</v>
      </c>
      <c r="K127" s="325">
        <v>2484.5125774699236</v>
      </c>
      <c r="L127" s="324">
        <v>2444.2938388625594</v>
      </c>
      <c r="M127" s="324">
        <v>2406.0860371855633</v>
      </c>
      <c r="N127" s="324">
        <v>2369.8891724389355</v>
      </c>
      <c r="O127" s="324">
        <v>2337.714181553044</v>
      </c>
      <c r="P127" s="260">
        <v>403</v>
      </c>
      <c r="Q127" s="260" t="s">
        <v>152</v>
      </c>
      <c r="Z127" s="430"/>
    </row>
    <row r="128" spans="1:28" s="268" customFormat="1" x14ac:dyDescent="0.2">
      <c r="A128" s="265" t="s">
        <v>153</v>
      </c>
      <c r="B128" s="323">
        <v>72333</v>
      </c>
      <c r="C128" s="323">
        <v>72650</v>
      </c>
      <c r="D128" s="323">
        <v>72988</v>
      </c>
      <c r="E128" s="320">
        <v>73327</v>
      </c>
      <c r="F128" s="324">
        <v>73525.967438879714</v>
      </c>
      <c r="G128" s="325">
        <v>73621.951731002599</v>
      </c>
      <c r="H128" s="325">
        <v>73706.937822986409</v>
      </c>
      <c r="I128" s="325">
        <v>73786.924733088803</v>
      </c>
      <c r="J128" s="325">
        <v>73862.912297686082</v>
      </c>
      <c r="K128" s="325">
        <v>73923.902316639156</v>
      </c>
      <c r="L128" s="324">
        <v>73976.893644582</v>
      </c>
      <c r="M128" s="324">
        <v>74011.88791775181</v>
      </c>
      <c r="N128" s="324">
        <v>74040.883172663933</v>
      </c>
      <c r="O128" s="324">
        <v>74049.88170005045</v>
      </c>
      <c r="P128" s="260">
        <v>405</v>
      </c>
      <c r="Q128" s="260" t="s">
        <v>153</v>
      </c>
      <c r="R128" s="348"/>
      <c r="S128" s="348"/>
      <c r="T128" s="348"/>
      <c r="U128" s="348"/>
      <c r="V128" s="348"/>
      <c r="W128" s="348"/>
      <c r="X128" s="348"/>
      <c r="Y128" s="348"/>
      <c r="Z128" s="430"/>
      <c r="AA128" s="348"/>
      <c r="AB128" s="348"/>
    </row>
    <row r="129" spans="1:28" x14ac:dyDescent="0.2">
      <c r="A129" s="154" t="s">
        <v>154</v>
      </c>
      <c r="B129" s="342">
        <v>14230</v>
      </c>
      <c r="C129" s="342">
        <v>14099</v>
      </c>
      <c r="D129" s="342">
        <v>14024</v>
      </c>
      <c r="E129" s="319">
        <v>14028</v>
      </c>
      <c r="F129" s="324">
        <v>13939.425414364641</v>
      </c>
      <c r="G129" s="325">
        <v>13855.883475640383</v>
      </c>
      <c r="H129" s="325">
        <v>13770.328478151683</v>
      </c>
      <c r="I129" s="325">
        <v>13689.806127574084</v>
      </c>
      <c r="J129" s="325">
        <v>13610.290306378703</v>
      </c>
      <c r="K129" s="325">
        <v>13528.761426418885</v>
      </c>
      <c r="L129" s="324">
        <v>13447.232546459067</v>
      </c>
      <c r="M129" s="324">
        <v>13369.729784028126</v>
      </c>
      <c r="N129" s="324">
        <v>13301.285786037168</v>
      </c>
      <c r="O129" s="324">
        <v>13232.841788046209</v>
      </c>
      <c r="P129" s="260">
        <v>408</v>
      </c>
      <c r="Q129" s="260" t="s">
        <v>154</v>
      </c>
      <c r="Z129" s="430"/>
    </row>
    <row r="130" spans="1:28" x14ac:dyDescent="0.2">
      <c r="A130" s="154" t="s">
        <v>155</v>
      </c>
      <c r="B130" s="342">
        <v>18991</v>
      </c>
      <c r="C130" s="342">
        <v>18775</v>
      </c>
      <c r="D130" s="342">
        <v>18762</v>
      </c>
      <c r="E130" s="319">
        <v>18878</v>
      </c>
      <c r="F130" s="324">
        <v>18856.858895051195</v>
      </c>
      <c r="G130" s="325">
        <v>18827.664035836176</v>
      </c>
      <c r="H130" s="325">
        <v>18795.449018771331</v>
      </c>
      <c r="I130" s="325">
        <v>18757.193686006827</v>
      </c>
      <c r="J130" s="325">
        <v>18709.877879692835</v>
      </c>
      <c r="K130" s="325">
        <v>18654.508319112629</v>
      </c>
      <c r="L130" s="324">
        <v>18596.118600682596</v>
      </c>
      <c r="M130" s="324">
        <v>18535.715443686011</v>
      </c>
      <c r="N130" s="324">
        <v>18478.332444539254</v>
      </c>
      <c r="O130" s="324">
        <v>18435.043515358364</v>
      </c>
      <c r="P130" s="260">
        <v>410</v>
      </c>
      <c r="Q130" s="260" t="s">
        <v>155</v>
      </c>
      <c r="Z130" s="430"/>
    </row>
    <row r="131" spans="1:28" x14ac:dyDescent="0.2">
      <c r="A131" s="154" t="s">
        <v>156</v>
      </c>
      <c r="B131" s="342">
        <v>2991</v>
      </c>
      <c r="C131" s="342">
        <v>2886</v>
      </c>
      <c r="D131" s="342">
        <v>2862</v>
      </c>
      <c r="E131" s="319">
        <v>2849</v>
      </c>
      <c r="F131" s="324">
        <v>2821.8283292122924</v>
      </c>
      <c r="G131" s="325">
        <v>2795.6630166019072</v>
      </c>
      <c r="H131" s="325">
        <v>2768.4913458141996</v>
      </c>
      <c r="I131" s="325">
        <v>2741.319675026492</v>
      </c>
      <c r="J131" s="325">
        <v>2712.1352878841394</v>
      </c>
      <c r="K131" s="325">
        <v>2685.9699752737542</v>
      </c>
      <c r="L131" s="324">
        <v>2660.8110208406915</v>
      </c>
      <c r="M131" s="324">
        <v>2638.6711409395966</v>
      </c>
      <c r="N131" s="324">
        <v>2615.5249028611788</v>
      </c>
      <c r="O131" s="324">
        <v>2595.3977393147288</v>
      </c>
      <c r="P131" s="260">
        <v>416</v>
      </c>
      <c r="Q131" s="260" t="s">
        <v>156</v>
      </c>
      <c r="Z131" s="430"/>
    </row>
    <row r="132" spans="1:28" x14ac:dyDescent="0.2">
      <c r="A132" s="154" t="s">
        <v>157</v>
      </c>
      <c r="B132" s="342">
        <v>23745</v>
      </c>
      <c r="C132" s="342">
        <v>24580</v>
      </c>
      <c r="D132" s="342">
        <v>24711</v>
      </c>
      <c r="E132" s="319">
        <v>24855</v>
      </c>
      <c r="F132" s="324">
        <v>25121.434942602296</v>
      </c>
      <c r="G132" s="325">
        <v>25367.986680532777</v>
      </c>
      <c r="H132" s="325">
        <v>25604.596816127356</v>
      </c>
      <c r="I132" s="325">
        <v>25832.259509619616</v>
      </c>
      <c r="J132" s="325">
        <v>26047.992280308787</v>
      </c>
      <c r="K132" s="325">
        <v>26263.72505099796</v>
      </c>
      <c r="L132" s="324">
        <v>26476.475340986362</v>
      </c>
      <c r="M132" s="324">
        <v>26685.2489900404</v>
      </c>
      <c r="N132" s="324">
        <v>26897.999280028802</v>
      </c>
      <c r="O132" s="324">
        <v>27117.70869165234</v>
      </c>
      <c r="P132" s="260">
        <v>418</v>
      </c>
      <c r="Q132" s="260" t="s">
        <v>157</v>
      </c>
      <c r="Z132" s="430"/>
    </row>
    <row r="133" spans="1:28" x14ac:dyDescent="0.2">
      <c r="A133" s="154" t="s">
        <v>158</v>
      </c>
      <c r="B133" s="342">
        <v>9345</v>
      </c>
      <c r="C133" s="342">
        <v>9177</v>
      </c>
      <c r="D133" s="342">
        <v>9049</v>
      </c>
      <c r="E133" s="319">
        <v>8971</v>
      </c>
      <c r="F133" s="324">
        <v>8863.6529859091916</v>
      </c>
      <c r="G133" s="325">
        <v>8754.2994855736961</v>
      </c>
      <c r="H133" s="325">
        <v>8652.9719302169524</v>
      </c>
      <c r="I133" s="325">
        <v>8551.6443748602087</v>
      </c>
      <c r="J133" s="325">
        <v>8455.3330351151853</v>
      </c>
      <c r="K133" s="325">
        <v>8366.0443972265693</v>
      </c>
      <c r="L133" s="324">
        <v>8282.7752180720181</v>
      </c>
      <c r="M133" s="324">
        <v>8205.5254976515298</v>
      </c>
      <c r="N133" s="324">
        <v>8134.2952359651063</v>
      </c>
      <c r="O133" s="324">
        <v>8068.081189890403</v>
      </c>
      <c r="P133" s="260">
        <v>420</v>
      </c>
      <c r="Q133" s="260" t="s">
        <v>158</v>
      </c>
      <c r="Z133" s="430"/>
    </row>
    <row r="134" spans="1:28" x14ac:dyDescent="0.2">
      <c r="A134" s="154" t="s">
        <v>159</v>
      </c>
      <c r="B134" s="342">
        <v>686</v>
      </c>
      <c r="C134" s="342">
        <v>695</v>
      </c>
      <c r="D134" s="342">
        <v>682</v>
      </c>
      <c r="E134" s="319">
        <v>665</v>
      </c>
      <c r="F134" s="324">
        <v>655.11887072808327</v>
      </c>
      <c r="G134" s="325">
        <v>648.20208023774148</v>
      </c>
      <c r="H134" s="325">
        <v>641.28528974739982</v>
      </c>
      <c r="I134" s="325">
        <v>634.36849925705803</v>
      </c>
      <c r="J134" s="325">
        <v>627.45170876671637</v>
      </c>
      <c r="K134" s="325">
        <v>620.53491827637458</v>
      </c>
      <c r="L134" s="324">
        <v>614.60624071322457</v>
      </c>
      <c r="M134" s="324">
        <v>606.70133729569113</v>
      </c>
      <c r="N134" s="324">
        <v>599.78454680534935</v>
      </c>
      <c r="O134" s="324">
        <v>593.85586924219922</v>
      </c>
      <c r="P134" s="260">
        <v>421</v>
      </c>
      <c r="Q134" s="260" t="s">
        <v>159</v>
      </c>
      <c r="Z134" s="430"/>
    </row>
    <row r="135" spans="1:28" x14ac:dyDescent="0.2">
      <c r="A135" s="154" t="s">
        <v>160</v>
      </c>
      <c r="B135" s="342">
        <v>10426</v>
      </c>
      <c r="C135" s="342">
        <v>10372</v>
      </c>
      <c r="D135" s="342">
        <v>10228</v>
      </c>
      <c r="E135" s="319">
        <v>10049</v>
      </c>
      <c r="F135" s="324">
        <v>9888.4632863663428</v>
      </c>
      <c r="G135" s="325">
        <v>9720.9467156181781</v>
      </c>
      <c r="H135" s="325">
        <v>9563.4013693193101</v>
      </c>
      <c r="I135" s="325">
        <v>9410.8416352450895</v>
      </c>
      <c r="J135" s="325">
        <v>9266.2588807303036</v>
      </c>
      <c r="K135" s="325">
        <v>9128.6559833300253</v>
      </c>
      <c r="L135" s="324">
        <v>8992.050208374676</v>
      </c>
      <c r="M135" s="324">
        <v>8863.4214129787633</v>
      </c>
      <c r="N135" s="324">
        <v>8738.7811073625689</v>
      </c>
      <c r="O135" s="324">
        <v>8618.1292915260929</v>
      </c>
      <c r="P135" s="260">
        <v>422</v>
      </c>
      <c r="Q135" s="260" t="s">
        <v>160</v>
      </c>
      <c r="Z135" s="430"/>
    </row>
    <row r="136" spans="1:28" x14ac:dyDescent="0.2">
      <c r="A136" s="154" t="s">
        <v>161</v>
      </c>
      <c r="B136" s="342">
        <v>20094</v>
      </c>
      <c r="C136" s="342">
        <v>20497</v>
      </c>
      <c r="D136" s="342">
        <v>20637</v>
      </c>
      <c r="E136" s="319">
        <v>20666</v>
      </c>
      <c r="F136" s="324">
        <v>20820.995000000003</v>
      </c>
      <c r="G136" s="325">
        <v>20974.996442307696</v>
      </c>
      <c r="H136" s="325">
        <v>21122.042980769238</v>
      </c>
      <c r="I136" s="325">
        <v>21264.121730769239</v>
      </c>
      <c r="J136" s="325">
        <v>21400.239134615393</v>
      </c>
      <c r="K136" s="325">
        <v>21529.401634615391</v>
      </c>
      <c r="L136" s="324">
        <v>21658.56413461539</v>
      </c>
      <c r="M136" s="324">
        <v>21788.720192307694</v>
      </c>
      <c r="N136" s="324">
        <v>21916.889134615387</v>
      </c>
      <c r="O136" s="324">
        <v>22047.045192307694</v>
      </c>
      <c r="P136" s="260">
        <v>423</v>
      </c>
      <c r="Q136" s="260" t="s">
        <v>161</v>
      </c>
      <c r="Z136" s="430"/>
    </row>
    <row r="137" spans="1:28" x14ac:dyDescent="0.2">
      <c r="A137" s="154" t="s">
        <v>162</v>
      </c>
      <c r="B137" s="342">
        <v>10455</v>
      </c>
      <c r="C137" s="342">
        <v>10258</v>
      </c>
      <c r="D137" s="342">
        <v>10256</v>
      </c>
      <c r="E137" s="319">
        <v>10190</v>
      </c>
      <c r="F137" s="324">
        <v>10216.724623603692</v>
      </c>
      <c r="G137" s="325">
        <v>10236.520641087907</v>
      </c>
      <c r="H137" s="325">
        <v>10251.367654201069</v>
      </c>
      <c r="I137" s="325">
        <v>10260.275862068967</v>
      </c>
      <c r="J137" s="325">
        <v>10268.194269062655</v>
      </c>
      <c r="K137" s="325">
        <v>10281.061680427394</v>
      </c>
      <c r="L137" s="324">
        <v>10295.908693540556</v>
      </c>
      <c r="M137" s="324">
        <v>10313.725109276351</v>
      </c>
      <c r="N137" s="324">
        <v>10339.459932005831</v>
      </c>
      <c r="O137" s="324">
        <v>10371.133559980577</v>
      </c>
      <c r="P137" s="260">
        <v>425</v>
      </c>
      <c r="Q137" s="260" t="s">
        <v>162</v>
      </c>
      <c r="Z137" s="430"/>
    </row>
    <row r="138" spans="1:28" x14ac:dyDescent="0.2">
      <c r="A138" s="154" t="s">
        <v>163</v>
      </c>
      <c r="B138" s="342">
        <v>11959</v>
      </c>
      <c r="C138" s="342">
        <v>11962</v>
      </c>
      <c r="D138" s="342">
        <v>11969</v>
      </c>
      <c r="E138" s="319">
        <v>11913</v>
      </c>
      <c r="F138" s="324">
        <v>11889.070304653498</v>
      </c>
      <c r="G138" s="325">
        <v>11860.155256109809</v>
      </c>
      <c r="H138" s="325">
        <v>11824.260713090056</v>
      </c>
      <c r="I138" s="325">
        <v>11786.372028791428</v>
      </c>
      <c r="J138" s="325">
        <v>11743.497991295613</v>
      </c>
      <c r="K138" s="325">
        <v>11701.621024439235</v>
      </c>
      <c r="L138" s="324">
        <v>11659.744057582857</v>
      </c>
      <c r="M138" s="324">
        <v>11620.858302644792</v>
      </c>
      <c r="N138" s="324">
        <v>11585.960830264477</v>
      </c>
      <c r="O138" s="324">
        <v>11550.066287244726</v>
      </c>
      <c r="P138" s="260">
        <v>426</v>
      </c>
      <c r="Q138" s="260" t="s">
        <v>163</v>
      </c>
      <c r="Z138" s="430"/>
    </row>
    <row r="139" spans="1:28" x14ac:dyDescent="0.2">
      <c r="A139" s="154" t="s">
        <v>164</v>
      </c>
      <c r="B139" s="342">
        <v>45289</v>
      </c>
      <c r="C139" s="342">
        <v>45811</v>
      </c>
      <c r="D139" s="342">
        <v>45645</v>
      </c>
      <c r="E139" s="319">
        <v>45687</v>
      </c>
      <c r="F139" s="324">
        <v>45599.768972479476</v>
      </c>
      <c r="G139" s="325">
        <v>45502.511390071544</v>
      </c>
      <c r="H139" s="325">
        <v>45418.288329017254</v>
      </c>
      <c r="I139" s="325">
        <v>45352.113066760307</v>
      </c>
      <c r="J139" s="325">
        <v>45297.969670368257</v>
      </c>
      <c r="K139" s="325">
        <v>45254.855484352367</v>
      </c>
      <c r="L139" s="324">
        <v>45226.781130667601</v>
      </c>
      <c r="M139" s="324">
        <v>45216.754575780185</v>
      </c>
      <c r="N139" s="324">
        <v>45225.778475178864</v>
      </c>
      <c r="O139" s="324">
        <v>45248.839551419922</v>
      </c>
      <c r="P139" s="260">
        <v>444</v>
      </c>
      <c r="Q139" s="260" t="s">
        <v>164</v>
      </c>
      <c r="Z139" s="430"/>
    </row>
    <row r="140" spans="1:28" x14ac:dyDescent="0.2">
      <c r="A140" s="154" t="s">
        <v>165</v>
      </c>
      <c r="B140" s="342">
        <v>15584</v>
      </c>
      <c r="C140" s="342">
        <v>15392</v>
      </c>
      <c r="D140" s="342">
        <v>15420</v>
      </c>
      <c r="E140" s="319">
        <v>15295</v>
      </c>
      <c r="F140" s="324">
        <v>15170.943223443222</v>
      </c>
      <c r="G140" s="325">
        <v>15049.887820512819</v>
      </c>
      <c r="H140" s="325">
        <v>14937.836538461535</v>
      </c>
      <c r="I140" s="325">
        <v>14833.788919413915</v>
      </c>
      <c r="J140" s="325">
        <v>14737.74496336996</v>
      </c>
      <c r="K140" s="325">
        <v>14644.702380952378</v>
      </c>
      <c r="L140" s="324">
        <v>14559.663461538457</v>
      </c>
      <c r="M140" s="324">
        <v>14478.62637362637</v>
      </c>
      <c r="N140" s="324">
        <v>14403.59203296703</v>
      </c>
      <c r="O140" s="324">
        <v>14334.560439560435</v>
      </c>
      <c r="P140" s="260">
        <v>430</v>
      </c>
      <c r="Q140" s="260" t="s">
        <v>165</v>
      </c>
      <c r="Z140" s="430"/>
    </row>
    <row r="141" spans="1:28" x14ac:dyDescent="0.2">
      <c r="A141" s="154" t="s">
        <v>166</v>
      </c>
      <c r="B141" s="342">
        <v>7632</v>
      </c>
      <c r="C141" s="342">
        <v>7749</v>
      </c>
      <c r="D141" s="342">
        <v>7692</v>
      </c>
      <c r="E141" s="319">
        <v>7657</v>
      </c>
      <c r="F141" s="324">
        <v>7626.0242724781419</v>
      </c>
      <c r="G141" s="325">
        <v>7595.0485449562839</v>
      </c>
      <c r="H141" s="325">
        <v>7562.0743834007571</v>
      </c>
      <c r="I141" s="325">
        <v>7530.0994388620647</v>
      </c>
      <c r="J141" s="325">
        <v>7500.1229283570401</v>
      </c>
      <c r="K141" s="325">
        <v>7473.1440689025185</v>
      </c>
      <c r="L141" s="324">
        <v>7448.1636434816655</v>
      </c>
      <c r="M141" s="324">
        <v>7426.1808691113138</v>
      </c>
      <c r="N141" s="324">
        <v>7405.1973117577973</v>
      </c>
      <c r="O141" s="324">
        <v>7391.2082735221193</v>
      </c>
      <c r="P141" s="260">
        <v>433</v>
      </c>
      <c r="Q141" s="260" t="s">
        <v>166</v>
      </c>
      <c r="Z141" s="430"/>
    </row>
    <row r="142" spans="1:28" s="268" customFormat="1" x14ac:dyDescent="0.2">
      <c r="A142" s="265" t="s">
        <v>167</v>
      </c>
      <c r="B142" s="323">
        <v>14453</v>
      </c>
      <c r="C142" s="323">
        <v>14568</v>
      </c>
      <c r="D142" s="323">
        <v>14458</v>
      </c>
      <c r="E142" s="320">
        <v>14352</v>
      </c>
      <c r="F142" s="324">
        <v>14263.049582172702</v>
      </c>
      <c r="G142" s="325">
        <v>14182.094707520891</v>
      </c>
      <c r="H142" s="325">
        <v>14113.133147632312</v>
      </c>
      <c r="I142" s="325">
        <v>14052.167130919221</v>
      </c>
      <c r="J142" s="325">
        <v>14000.196100278552</v>
      </c>
      <c r="K142" s="325">
        <v>13953.222284122563</v>
      </c>
      <c r="L142" s="324">
        <v>13914.244011142062</v>
      </c>
      <c r="M142" s="324">
        <v>13882.261838440112</v>
      </c>
      <c r="N142" s="324">
        <v>13857.275766016714</v>
      </c>
      <c r="O142" s="324">
        <v>13842.284122562674</v>
      </c>
      <c r="P142" s="260">
        <v>434</v>
      </c>
      <c r="Q142" s="260" t="s">
        <v>167</v>
      </c>
      <c r="R142" s="348"/>
      <c r="S142" s="348"/>
      <c r="T142" s="348"/>
      <c r="U142" s="348"/>
      <c r="V142" s="348"/>
      <c r="W142" s="348"/>
      <c r="X142" s="348"/>
      <c r="Y142" s="348"/>
      <c r="Z142" s="430"/>
      <c r="AA142" s="348"/>
      <c r="AB142" s="348"/>
    </row>
    <row r="143" spans="1:28" x14ac:dyDescent="0.2">
      <c r="A143" s="154" t="s">
        <v>168</v>
      </c>
      <c r="B143" s="342">
        <v>690</v>
      </c>
      <c r="C143" s="342">
        <v>692</v>
      </c>
      <c r="D143" s="342">
        <v>702</v>
      </c>
      <c r="E143" s="319">
        <v>711</v>
      </c>
      <c r="F143" s="324">
        <v>709.98862019914657</v>
      </c>
      <c r="G143" s="325">
        <v>712.01137980085355</v>
      </c>
      <c r="H143" s="325">
        <v>713.02275960170709</v>
      </c>
      <c r="I143" s="325">
        <v>713.02275960170709</v>
      </c>
      <c r="J143" s="325">
        <v>715.04551920341407</v>
      </c>
      <c r="K143" s="325">
        <v>715.04551920341407</v>
      </c>
      <c r="L143" s="324">
        <v>713.02275960170709</v>
      </c>
      <c r="M143" s="324">
        <v>713.02275960170709</v>
      </c>
      <c r="N143" s="324">
        <v>713.02275960170709</v>
      </c>
      <c r="O143" s="324">
        <v>715.04551920341407</v>
      </c>
      <c r="P143" s="260">
        <v>435</v>
      </c>
      <c r="Q143" s="260" t="s">
        <v>168</v>
      </c>
      <c r="Z143" s="430"/>
    </row>
    <row r="144" spans="1:28" x14ac:dyDescent="0.2">
      <c r="A144" s="154" t="s">
        <v>169</v>
      </c>
      <c r="B144" s="342">
        <v>2020</v>
      </c>
      <c r="C144" s="342">
        <v>1988</v>
      </c>
      <c r="D144" s="342">
        <v>2033</v>
      </c>
      <c r="E144" s="319">
        <v>2008</v>
      </c>
      <c r="F144" s="324">
        <v>1999.0799605133268</v>
      </c>
      <c r="G144" s="325">
        <v>1987.1865745310959</v>
      </c>
      <c r="H144" s="325">
        <v>1977.2754195459033</v>
      </c>
      <c r="I144" s="325">
        <v>1968.3553800592301</v>
      </c>
      <c r="J144" s="325">
        <v>1958.4442250740376</v>
      </c>
      <c r="K144" s="325">
        <v>1951.5064165844028</v>
      </c>
      <c r="L144" s="324">
        <v>1944.568608094768</v>
      </c>
      <c r="M144" s="324">
        <v>1939.6130306021719</v>
      </c>
      <c r="N144" s="324">
        <v>1934.6574531095757</v>
      </c>
      <c r="O144" s="324">
        <v>1930.6929911154987</v>
      </c>
      <c r="P144" s="260">
        <v>436</v>
      </c>
      <c r="Q144" s="260" t="s">
        <v>169</v>
      </c>
      <c r="Z144" s="430"/>
    </row>
    <row r="145" spans="1:26" x14ac:dyDescent="0.2">
      <c r="A145" s="154" t="s">
        <v>170</v>
      </c>
      <c r="B145" s="342">
        <v>5500</v>
      </c>
      <c r="C145" s="342">
        <v>5732</v>
      </c>
      <c r="D145" s="342">
        <v>5843</v>
      </c>
      <c r="E145" s="319">
        <v>5884</v>
      </c>
      <c r="F145" s="324">
        <v>5996.4331210191085</v>
      </c>
      <c r="G145" s="325">
        <v>6102.9487093530006</v>
      </c>
      <c r="H145" s="325">
        <v>6208.478042239356</v>
      </c>
      <c r="I145" s="325">
        <v>6310.0623533355674</v>
      </c>
      <c r="J145" s="325">
        <v>6411.6466644317798</v>
      </c>
      <c r="K145" s="325">
        <v>6511.2584646329196</v>
      </c>
      <c r="L145" s="324">
        <v>6608.8977539389871</v>
      </c>
      <c r="M145" s="324">
        <v>6705.5507877975188</v>
      </c>
      <c r="N145" s="324">
        <v>6800.231310760978</v>
      </c>
      <c r="O145" s="324">
        <v>6897.8706000670463</v>
      </c>
      <c r="P145" s="260">
        <v>440</v>
      </c>
      <c r="Q145" s="260" t="s">
        <v>170</v>
      </c>
      <c r="Z145" s="430"/>
    </row>
    <row r="146" spans="1:26" x14ac:dyDescent="0.2">
      <c r="A146" s="154" t="s">
        <v>171</v>
      </c>
      <c r="B146" s="342">
        <v>4467</v>
      </c>
      <c r="C146" s="342">
        <v>4421</v>
      </c>
      <c r="D146" s="342">
        <v>4396</v>
      </c>
      <c r="E146" s="319">
        <v>4358</v>
      </c>
      <c r="F146" s="324">
        <v>4310.8593785960875</v>
      </c>
      <c r="G146" s="325">
        <v>4266.7277330264669</v>
      </c>
      <c r="H146" s="325">
        <v>4222.5960874568464</v>
      </c>
      <c r="I146" s="325">
        <v>4183.4794016110463</v>
      </c>
      <c r="J146" s="325">
        <v>4147.3716915995383</v>
      </c>
      <c r="K146" s="325">
        <v>4111.2639815880302</v>
      </c>
      <c r="L146" s="324">
        <v>4079.1682393555793</v>
      </c>
      <c r="M146" s="324">
        <v>4049.0784810126565</v>
      </c>
      <c r="N146" s="324">
        <v>4021.9976985040262</v>
      </c>
      <c r="O146" s="324">
        <v>3995.9199079401596</v>
      </c>
      <c r="P146" s="260">
        <v>441</v>
      </c>
      <c r="Q146" s="260" t="s">
        <v>171</v>
      </c>
      <c r="Z146" s="430"/>
    </row>
    <row r="147" spans="1:26" x14ac:dyDescent="0.2">
      <c r="A147" s="154" t="s">
        <v>172</v>
      </c>
      <c r="B147" s="342">
        <v>5407</v>
      </c>
      <c r="C147" s="342">
        <v>5479</v>
      </c>
      <c r="D147" s="342">
        <v>5456</v>
      </c>
      <c r="E147" s="319">
        <v>5415</v>
      </c>
      <c r="F147" s="324">
        <v>5415</v>
      </c>
      <c r="G147" s="325">
        <v>5414.0080600842639</v>
      </c>
      <c r="H147" s="325">
        <v>5406.0725407583795</v>
      </c>
      <c r="I147" s="325">
        <v>5395.1612016852896</v>
      </c>
      <c r="J147" s="325">
        <v>5385.2418025279349</v>
      </c>
      <c r="K147" s="325">
        <v>5379.2901630335218</v>
      </c>
      <c r="L147" s="324">
        <v>5370.3627037919023</v>
      </c>
      <c r="M147" s="324">
        <v>5369.3707638761671</v>
      </c>
      <c r="N147" s="324">
        <v>5365.4030042132254</v>
      </c>
      <c r="O147" s="324">
        <v>5362.4271844660188</v>
      </c>
      <c r="P147" s="260">
        <v>475</v>
      </c>
      <c r="Q147" s="260" t="s">
        <v>172</v>
      </c>
      <c r="Z147" s="430"/>
    </row>
    <row r="148" spans="1:26" x14ac:dyDescent="0.2">
      <c r="A148" s="154" t="s">
        <v>173</v>
      </c>
      <c r="B148" s="342">
        <v>2003</v>
      </c>
      <c r="C148" s="342">
        <v>1978</v>
      </c>
      <c r="D148" s="342">
        <v>1930</v>
      </c>
      <c r="E148" s="319">
        <v>1910</v>
      </c>
      <c r="F148" s="324">
        <v>1895.0469728601252</v>
      </c>
      <c r="G148" s="325">
        <v>1881.090814196242</v>
      </c>
      <c r="H148" s="325">
        <v>1867.1346555323589</v>
      </c>
      <c r="I148" s="325">
        <v>1851.1847599164926</v>
      </c>
      <c r="J148" s="325">
        <v>1838.2254697286012</v>
      </c>
      <c r="K148" s="325">
        <v>1825.2661795407098</v>
      </c>
      <c r="L148" s="324">
        <v>1813.3037578288099</v>
      </c>
      <c r="M148" s="324">
        <v>1803.3350730688935</v>
      </c>
      <c r="N148" s="324">
        <v>1797.3538622129436</v>
      </c>
      <c r="O148" s="324">
        <v>1792.3695198329854</v>
      </c>
      <c r="P148" s="260">
        <v>480</v>
      </c>
      <c r="Q148" s="260" t="s">
        <v>173</v>
      </c>
      <c r="Z148" s="430"/>
    </row>
    <row r="149" spans="1:26" x14ac:dyDescent="0.2">
      <c r="A149" s="154" t="s">
        <v>174</v>
      </c>
      <c r="B149" s="342">
        <v>9411</v>
      </c>
      <c r="C149" s="342">
        <v>9642</v>
      </c>
      <c r="D149" s="342">
        <v>9619</v>
      </c>
      <c r="E149" s="319">
        <v>9592</v>
      </c>
      <c r="F149" s="324">
        <v>9604.9379539323509</v>
      </c>
      <c r="G149" s="325">
        <v>9619.8663623158318</v>
      </c>
      <c r="H149" s="325">
        <v>9641.7613612782716</v>
      </c>
      <c r="I149" s="325">
        <v>9657.6849968873194</v>
      </c>
      <c r="J149" s="325">
        <v>9675.5990869474972</v>
      </c>
      <c r="K149" s="325">
        <v>9696.498858684372</v>
      </c>
      <c r="L149" s="324">
        <v>9718.3938576468117</v>
      </c>
      <c r="M149" s="324">
        <v>9743.2745382859484</v>
      </c>
      <c r="N149" s="324">
        <v>9769.1504461506502</v>
      </c>
      <c r="O149" s="324">
        <v>9796.0215812409169</v>
      </c>
      <c r="P149" s="260">
        <v>481</v>
      </c>
      <c r="Q149" s="260" t="s">
        <v>174</v>
      </c>
      <c r="Z149" s="430"/>
    </row>
    <row r="150" spans="1:26" x14ac:dyDescent="0.2">
      <c r="A150" s="154" t="s">
        <v>175</v>
      </c>
      <c r="B150" s="342">
        <v>1048</v>
      </c>
      <c r="C150" s="342">
        <v>1067</v>
      </c>
      <c r="D150" s="342">
        <v>1055</v>
      </c>
      <c r="E150" s="319">
        <v>1059</v>
      </c>
      <c r="F150" s="324">
        <v>1050.9160305343512</v>
      </c>
      <c r="G150" s="325">
        <v>1043.8425572519084</v>
      </c>
      <c r="H150" s="325">
        <v>1038.790076335878</v>
      </c>
      <c r="I150" s="325">
        <v>1034.7480916030536</v>
      </c>
      <c r="J150" s="325">
        <v>1028.685114503817</v>
      </c>
      <c r="K150" s="325">
        <v>1022.6221374045803</v>
      </c>
      <c r="L150" s="324">
        <v>1015.5486641221376</v>
      </c>
      <c r="M150" s="324">
        <v>1007.4646946564886</v>
      </c>
      <c r="N150" s="324">
        <v>998.37022900763372</v>
      </c>
      <c r="O150" s="324">
        <v>990.28625954198492</v>
      </c>
      <c r="P150" s="260">
        <v>483</v>
      </c>
      <c r="Q150" s="260" t="s">
        <v>175</v>
      </c>
      <c r="Z150" s="430"/>
    </row>
    <row r="151" spans="1:26" x14ac:dyDescent="0.2">
      <c r="A151" s="154" t="s">
        <v>176</v>
      </c>
      <c r="B151" s="342">
        <v>3039</v>
      </c>
      <c r="C151" s="342">
        <v>2967</v>
      </c>
      <c r="D151" s="342">
        <v>2966</v>
      </c>
      <c r="E151" s="319">
        <v>2904</v>
      </c>
      <c r="F151" s="324">
        <v>2876.352261135668</v>
      </c>
      <c r="G151" s="325">
        <v>2848.7045222713359</v>
      </c>
      <c r="H151" s="325">
        <v>2823.0316218973135</v>
      </c>
      <c r="I151" s="325">
        <v>2799.3335600136006</v>
      </c>
      <c r="J151" s="325">
        <v>2773.6606596395782</v>
      </c>
      <c r="K151" s="325">
        <v>2748.9751785107105</v>
      </c>
      <c r="L151" s="324">
        <v>2722.3148588915333</v>
      </c>
      <c r="M151" s="324">
        <v>2695.654539272356</v>
      </c>
      <c r="N151" s="324">
        <v>2667.0193811628696</v>
      </c>
      <c r="O151" s="324">
        <v>2641.3464807888472</v>
      </c>
      <c r="P151" s="260">
        <v>484</v>
      </c>
      <c r="Q151" s="260" t="s">
        <v>176</v>
      </c>
      <c r="Z151" s="430"/>
    </row>
    <row r="152" spans="1:26" x14ac:dyDescent="0.2">
      <c r="A152" s="154" t="s">
        <v>177</v>
      </c>
      <c r="B152" s="342">
        <v>1834</v>
      </c>
      <c r="C152" s="342">
        <v>1791</v>
      </c>
      <c r="D152" s="342">
        <v>1752</v>
      </c>
      <c r="E152" s="319">
        <v>1703</v>
      </c>
      <c r="F152" s="324">
        <v>1672.1989498249707</v>
      </c>
      <c r="G152" s="325">
        <v>1643.3850641773627</v>
      </c>
      <c r="H152" s="325">
        <v>1616.558343057176</v>
      </c>
      <c r="I152" s="325">
        <v>1590.7252042006999</v>
      </c>
      <c r="J152" s="325">
        <v>1568.8663943990664</v>
      </c>
      <c r="K152" s="325">
        <v>1547.0075845974327</v>
      </c>
      <c r="L152" s="324">
        <v>1527.1359393232203</v>
      </c>
      <c r="M152" s="324">
        <v>1509.2514585764291</v>
      </c>
      <c r="N152" s="324">
        <v>1493.3541423570593</v>
      </c>
      <c r="O152" s="324">
        <v>1477.4568261376896</v>
      </c>
      <c r="P152" s="260">
        <v>489</v>
      </c>
      <c r="Q152" s="260" t="s">
        <v>177</v>
      </c>
      <c r="Z152" s="430"/>
    </row>
    <row r="153" spans="1:26" x14ac:dyDescent="0.2">
      <c r="A153" s="154" t="s">
        <v>178</v>
      </c>
      <c r="B153" s="342">
        <v>53069</v>
      </c>
      <c r="C153" s="342">
        <v>51980</v>
      </c>
      <c r="D153" s="342">
        <v>51919</v>
      </c>
      <c r="E153" s="319">
        <v>51890</v>
      </c>
      <c r="F153" s="324">
        <v>51684.520852247486</v>
      </c>
      <c r="G153" s="325">
        <v>51440.952886862797</v>
      </c>
      <c r="H153" s="325">
        <v>51197.384921478108</v>
      </c>
      <c r="I153" s="325">
        <v>50952.814618787306</v>
      </c>
      <c r="J153" s="325">
        <v>50716.263014545388</v>
      </c>
      <c r="K153" s="325">
        <v>50481.716084915686</v>
      </c>
      <c r="L153" s="324">
        <v>50246.16681797988</v>
      </c>
      <c r="M153" s="324">
        <v>50010.617551044066</v>
      </c>
      <c r="N153" s="324">
        <v>49775.068284108253</v>
      </c>
      <c r="O153" s="324">
        <v>49540.521354478551</v>
      </c>
      <c r="P153" s="260">
        <v>491</v>
      </c>
      <c r="Q153" s="260" t="s">
        <v>178</v>
      </c>
      <c r="Z153" s="430"/>
    </row>
    <row r="154" spans="1:26" x14ac:dyDescent="0.2">
      <c r="A154" s="154" t="s">
        <v>179</v>
      </c>
      <c r="B154" s="342">
        <v>8946</v>
      </c>
      <c r="C154" s="342">
        <v>8882</v>
      </c>
      <c r="D154" s="342">
        <v>8827</v>
      </c>
      <c r="E154" s="319">
        <v>8749</v>
      </c>
      <c r="F154" s="324">
        <v>8719.1941857824204</v>
      </c>
      <c r="G154" s="325">
        <v>8684.4207358619115</v>
      </c>
      <c r="H154" s="325">
        <v>8650.6408130819891</v>
      </c>
      <c r="I154" s="325">
        <v>8614.8738360208936</v>
      </c>
      <c r="J154" s="325">
        <v>8581.0939132409712</v>
      </c>
      <c r="K154" s="325">
        <v>8546.3204633204623</v>
      </c>
      <c r="L154" s="324">
        <v>8514.5275948217113</v>
      </c>
      <c r="M154" s="324">
        <v>8484.7217806041317</v>
      </c>
      <c r="N154" s="324">
        <v>8457.8965478083101</v>
      </c>
      <c r="O154" s="324">
        <v>8436.0389507154196</v>
      </c>
      <c r="P154" s="260">
        <v>494</v>
      </c>
      <c r="Q154" s="260" t="s">
        <v>179</v>
      </c>
      <c r="Z154" s="430"/>
    </row>
    <row r="155" spans="1:26" x14ac:dyDescent="0.2">
      <c r="A155" s="154" t="s">
        <v>180</v>
      </c>
      <c r="B155" s="342">
        <v>1480</v>
      </c>
      <c r="C155" s="342">
        <v>1477</v>
      </c>
      <c r="D155" s="342">
        <v>1430</v>
      </c>
      <c r="E155" s="319">
        <v>1393</v>
      </c>
      <c r="F155" s="324">
        <v>1369.2219061166429</v>
      </c>
      <c r="G155" s="325">
        <v>1344.4530583214794</v>
      </c>
      <c r="H155" s="325">
        <v>1321.665718349929</v>
      </c>
      <c r="I155" s="325">
        <v>1299.869132290185</v>
      </c>
      <c r="J155" s="325">
        <v>1278.072546230441</v>
      </c>
      <c r="K155" s="325">
        <v>1259.2482219061167</v>
      </c>
      <c r="L155" s="324">
        <v>1243.3961593172121</v>
      </c>
      <c r="M155" s="324">
        <v>1227.5440967283073</v>
      </c>
      <c r="N155" s="324">
        <v>1213.6735419630156</v>
      </c>
      <c r="O155" s="324">
        <v>1201.7844950213371</v>
      </c>
      <c r="P155" s="260">
        <v>495</v>
      </c>
      <c r="Q155" s="260" t="s">
        <v>180</v>
      </c>
      <c r="Z155" s="430"/>
    </row>
    <row r="156" spans="1:26" x14ac:dyDescent="0.2">
      <c r="A156" s="154" t="s">
        <v>181</v>
      </c>
      <c r="B156" s="342">
        <v>2241</v>
      </c>
      <c r="C156" s="342">
        <v>2281</v>
      </c>
      <c r="D156" s="342">
        <v>2325</v>
      </c>
      <c r="E156" s="319">
        <v>2313</v>
      </c>
      <c r="F156" s="324">
        <v>2315.9768339768339</v>
      </c>
      <c r="G156" s="325">
        <v>2316.9691119691115</v>
      </c>
      <c r="H156" s="325">
        <v>2318.9536679536677</v>
      </c>
      <c r="I156" s="325">
        <v>2320.9382239382239</v>
      </c>
      <c r="J156" s="325">
        <v>2320.9382239382239</v>
      </c>
      <c r="K156" s="325">
        <v>2322.9227799227797</v>
      </c>
      <c r="L156" s="324">
        <v>2322.9227799227797</v>
      </c>
      <c r="M156" s="324">
        <v>2326.8918918918916</v>
      </c>
      <c r="N156" s="324">
        <v>2331.8532818532813</v>
      </c>
      <c r="O156" s="324">
        <v>2337.8069498069494</v>
      </c>
      <c r="P156" s="260">
        <v>498</v>
      </c>
      <c r="Q156" s="260" t="s">
        <v>181</v>
      </c>
      <c r="Z156" s="430"/>
    </row>
    <row r="157" spans="1:26" x14ac:dyDescent="0.2">
      <c r="A157" s="154" t="s">
        <v>182</v>
      </c>
      <c r="B157" s="342">
        <v>19550</v>
      </c>
      <c r="C157" s="342">
        <v>19662</v>
      </c>
      <c r="D157" s="342">
        <v>19763</v>
      </c>
      <c r="E157" s="319">
        <v>19738</v>
      </c>
      <c r="F157" s="324">
        <v>19850.102633695216</v>
      </c>
      <c r="G157" s="325">
        <v>19945.340269400884</v>
      </c>
      <c r="H157" s="325">
        <v>20040.577905106551</v>
      </c>
      <c r="I157" s="325">
        <v>20131.847305991148</v>
      </c>
      <c r="J157" s="325">
        <v>20214.18817852834</v>
      </c>
      <c r="K157" s="325">
        <v>20286.608464012861</v>
      </c>
      <c r="L157" s="324">
        <v>20360.020808202647</v>
      </c>
      <c r="M157" s="324">
        <v>20431.449034981899</v>
      </c>
      <c r="N157" s="324">
        <v>20501.885203055885</v>
      </c>
      <c r="O157" s="324">
        <v>20576.28960595094</v>
      </c>
      <c r="P157" s="260">
        <v>499</v>
      </c>
      <c r="Q157" s="260" t="s">
        <v>182</v>
      </c>
      <c r="Z157" s="430"/>
    </row>
    <row r="158" spans="1:26" x14ac:dyDescent="0.2">
      <c r="A158" s="154" t="s">
        <v>183</v>
      </c>
      <c r="B158" s="342">
        <v>10431</v>
      </c>
      <c r="C158" s="342">
        <v>10486</v>
      </c>
      <c r="D158" s="342">
        <v>10551</v>
      </c>
      <c r="E158" s="319">
        <v>10614</v>
      </c>
      <c r="F158" s="324">
        <v>10711.558806978053</v>
      </c>
      <c r="G158" s="325">
        <v>10799.162633652224</v>
      </c>
      <c r="H158" s="325">
        <v>10874.820483961734</v>
      </c>
      <c r="I158" s="325">
        <v>10943.509848058526</v>
      </c>
      <c r="J158" s="325">
        <v>11005.2307259426</v>
      </c>
      <c r="K158" s="325">
        <v>11056.996623522791</v>
      </c>
      <c r="L158" s="324">
        <v>11103.78503095104</v>
      </c>
      <c r="M158" s="324">
        <v>11142.609454136184</v>
      </c>
      <c r="N158" s="324">
        <v>11179.442881260549</v>
      </c>
      <c r="O158" s="324">
        <v>11219.262802476082</v>
      </c>
      <c r="P158" s="260">
        <v>500</v>
      </c>
      <c r="Q158" s="260" t="s">
        <v>183</v>
      </c>
      <c r="Z158" s="430"/>
    </row>
    <row r="159" spans="1:26" x14ac:dyDescent="0.2">
      <c r="A159" s="154" t="s">
        <v>184</v>
      </c>
      <c r="B159" s="342">
        <v>7618</v>
      </c>
      <c r="C159" s="342">
        <v>7539</v>
      </c>
      <c r="D159" s="342">
        <v>7515</v>
      </c>
      <c r="E159" s="319">
        <v>7477</v>
      </c>
      <c r="F159" s="324">
        <v>7428.9357171554848</v>
      </c>
      <c r="G159" s="325">
        <v>7384.8767912146786</v>
      </c>
      <c r="H159" s="325">
        <v>7347.8272398553645</v>
      </c>
      <c r="I159" s="325">
        <v>7313.7817061738324</v>
      </c>
      <c r="J159" s="325">
        <v>7285.7442078478643</v>
      </c>
      <c r="K159" s="325">
        <v>7261.7120664256063</v>
      </c>
      <c r="L159" s="324">
        <v>7241.6852819070573</v>
      </c>
      <c r="M159" s="324">
        <v>7225.6638542922192</v>
      </c>
      <c r="N159" s="324">
        <v>7210.6437659033081</v>
      </c>
      <c r="O159" s="324">
        <v>7198.6276951921791</v>
      </c>
      <c r="P159" s="260">
        <v>503</v>
      </c>
      <c r="Q159" s="260" t="s">
        <v>184</v>
      </c>
      <c r="Z159" s="430"/>
    </row>
    <row r="160" spans="1:26" x14ac:dyDescent="0.2">
      <c r="A160" s="154" t="s">
        <v>185</v>
      </c>
      <c r="B160" s="342">
        <v>1888</v>
      </c>
      <c r="C160" s="342">
        <v>1764</v>
      </c>
      <c r="D160" s="342">
        <v>1715</v>
      </c>
      <c r="E160" s="319">
        <v>1677</v>
      </c>
      <c r="F160" s="324">
        <v>1644.039309112567</v>
      </c>
      <c r="G160" s="325">
        <v>1618.0702799285289</v>
      </c>
      <c r="H160" s="325">
        <v>1597.0952948183442</v>
      </c>
      <c r="I160" s="325">
        <v>1577.1191185229302</v>
      </c>
      <c r="J160" s="325">
        <v>1559.1405598570577</v>
      </c>
      <c r="K160" s="325">
        <v>1544.1584276354974</v>
      </c>
      <c r="L160" s="324">
        <v>1530.1751042287076</v>
      </c>
      <c r="M160" s="324">
        <v>1520.1870160810006</v>
      </c>
      <c r="N160" s="324">
        <v>1511.1977367480642</v>
      </c>
      <c r="O160" s="324">
        <v>1504.2060750446694</v>
      </c>
      <c r="P160" s="260">
        <v>504</v>
      </c>
      <c r="Q160" s="260" t="s">
        <v>185</v>
      </c>
      <c r="Z160" s="430"/>
    </row>
    <row r="161" spans="1:28" x14ac:dyDescent="0.2">
      <c r="A161" s="154" t="s">
        <v>186</v>
      </c>
      <c r="B161" s="342">
        <v>20592</v>
      </c>
      <c r="C161" s="342">
        <v>20912</v>
      </c>
      <c r="D161" s="342">
        <v>20957</v>
      </c>
      <c r="E161" s="319">
        <v>20934</v>
      </c>
      <c r="F161" s="324">
        <v>20973.879982854694</v>
      </c>
      <c r="G161" s="325">
        <v>21023.729961423061</v>
      </c>
      <c r="H161" s="325">
        <v>21080.558936991001</v>
      </c>
      <c r="I161" s="325">
        <v>21144.366909558514</v>
      </c>
      <c r="J161" s="325">
        <v>21212.162880411492</v>
      </c>
      <c r="K161" s="325">
        <v>21287.934847835408</v>
      </c>
      <c r="L161" s="324">
        <v>21367.694813544796</v>
      </c>
      <c r="M161" s="324">
        <v>21457.424774967858</v>
      </c>
      <c r="N161" s="324">
        <v>21554.133733390488</v>
      </c>
      <c r="O161" s="324">
        <v>21655.827689669957</v>
      </c>
      <c r="P161" s="260">
        <v>505</v>
      </c>
      <c r="Q161" s="260" t="s">
        <v>186</v>
      </c>
      <c r="Z161" s="430"/>
    </row>
    <row r="162" spans="1:28" x14ac:dyDescent="0.2">
      <c r="A162" s="154" t="s">
        <v>350</v>
      </c>
      <c r="B162" s="342">
        <v>9462</v>
      </c>
      <c r="C162" s="342">
        <v>9360</v>
      </c>
      <c r="D162" s="342">
        <v>9271</v>
      </c>
      <c r="E162" s="319">
        <v>9270</v>
      </c>
      <c r="F162" s="324">
        <v>9142.3056739914718</v>
      </c>
      <c r="G162" s="325">
        <v>9012.5844539193167</v>
      </c>
      <c r="H162" s="325">
        <v>8889.9573630698578</v>
      </c>
      <c r="I162" s="325">
        <v>8775.4378484749086</v>
      </c>
      <c r="J162" s="325">
        <v>8666.9990160708421</v>
      </c>
      <c r="K162" s="325">
        <v>8566.6677599212853</v>
      </c>
      <c r="L162" s="324">
        <v>8466.3365037717285</v>
      </c>
      <c r="M162" s="324">
        <v>8375.1262709084949</v>
      </c>
      <c r="N162" s="324">
        <v>8288.9832732043305</v>
      </c>
      <c r="O162" s="324">
        <v>8206.8940636274201</v>
      </c>
      <c r="P162" s="260">
        <v>508</v>
      </c>
      <c r="Q162" s="260" t="s">
        <v>350</v>
      </c>
      <c r="Z162" s="430"/>
    </row>
    <row r="163" spans="1:28" x14ac:dyDescent="0.2">
      <c r="A163" s="154" t="s">
        <v>187</v>
      </c>
      <c r="B163" s="342">
        <v>5687</v>
      </c>
      <c r="C163" s="342">
        <v>5564</v>
      </c>
      <c r="D163" s="342">
        <v>5522</v>
      </c>
      <c r="E163" s="319">
        <v>5532</v>
      </c>
      <c r="F163" s="324">
        <v>5460.959823885526</v>
      </c>
      <c r="G163" s="325">
        <v>5391.9493670886086</v>
      </c>
      <c r="H163" s="325">
        <v>5328.0132085855812</v>
      </c>
      <c r="I163" s="325">
        <v>5264.0770500825538</v>
      </c>
      <c r="J163" s="325">
        <v>5199.1260319207486</v>
      </c>
      <c r="K163" s="325">
        <v>5142.2938910291696</v>
      </c>
      <c r="L163" s="324">
        <v>5087.4914694551462</v>
      </c>
      <c r="M163" s="324">
        <v>5034.7187671986794</v>
      </c>
      <c r="N163" s="324">
        <v>4981.9460649422126</v>
      </c>
      <c r="O163" s="324">
        <v>4929.1733626857458</v>
      </c>
      <c r="P163" s="260">
        <v>507</v>
      </c>
      <c r="Q163" s="260" t="s">
        <v>187</v>
      </c>
      <c r="Z163" s="430"/>
    </row>
    <row r="164" spans="1:28" x14ac:dyDescent="0.2">
      <c r="A164" s="154" t="s">
        <v>188</v>
      </c>
      <c r="B164" s="342">
        <v>19448</v>
      </c>
      <c r="C164" s="342">
        <v>19850</v>
      </c>
      <c r="D164" s="342">
        <v>19999</v>
      </c>
      <c r="E164" s="319">
        <v>20129</v>
      </c>
      <c r="F164" s="324">
        <v>20314.318715042322</v>
      </c>
      <c r="G164" s="325">
        <v>20485.688709597587</v>
      </c>
      <c r="H164" s="325">
        <v>20648.091669554029</v>
      </c>
      <c r="I164" s="325">
        <v>20810.494629510471</v>
      </c>
      <c r="J164" s="325">
        <v>20968.912240756326</v>
      </c>
      <c r="K164" s="325">
        <v>21128.326189179825</v>
      </c>
      <c r="L164" s="324">
        <v>21290.729149136267</v>
      </c>
      <c r="M164" s="324">
        <v>21449.146760382122</v>
      </c>
      <c r="N164" s="324">
        <v>21602.582685739744</v>
      </c>
      <c r="O164" s="324">
        <v>21755.02227391972</v>
      </c>
      <c r="P164" s="260">
        <v>529</v>
      </c>
      <c r="Q164" s="260" t="s">
        <v>188</v>
      </c>
      <c r="Z164" s="430"/>
    </row>
    <row r="165" spans="1:28" x14ac:dyDescent="0.2">
      <c r="A165" s="154" t="s">
        <v>189</v>
      </c>
      <c r="B165" s="342">
        <v>5282</v>
      </c>
      <c r="C165" s="342">
        <v>5072</v>
      </c>
      <c r="D165" s="342">
        <v>4966</v>
      </c>
      <c r="E165" s="319">
        <v>4939</v>
      </c>
      <c r="F165" s="324">
        <v>4865.4039599918351</v>
      </c>
      <c r="G165" s="325">
        <v>4790.7997550520513</v>
      </c>
      <c r="H165" s="325">
        <v>4720.2282098387423</v>
      </c>
      <c r="I165" s="325">
        <v>4650.6648295570521</v>
      </c>
      <c r="J165" s="325">
        <v>4585.1341090018368</v>
      </c>
      <c r="K165" s="325">
        <v>4524.6442131047152</v>
      </c>
      <c r="L165" s="324">
        <v>4463.1461522759746</v>
      </c>
      <c r="M165" s="324">
        <v>4408.7052459685647</v>
      </c>
      <c r="N165" s="324">
        <v>4354.2643396611547</v>
      </c>
      <c r="O165" s="324">
        <v>4305.8724229434574</v>
      </c>
      <c r="P165" s="260">
        <v>531</v>
      </c>
      <c r="Q165" s="260" t="s">
        <v>189</v>
      </c>
      <c r="Z165" s="430"/>
    </row>
    <row r="166" spans="1:28" x14ac:dyDescent="0.2">
      <c r="A166" s="154" t="s">
        <v>190</v>
      </c>
      <c r="B166" s="342">
        <v>10505</v>
      </c>
      <c r="C166" s="342">
        <v>10419</v>
      </c>
      <c r="D166" s="342">
        <v>10454</v>
      </c>
      <c r="E166" s="319">
        <v>10378</v>
      </c>
      <c r="F166" s="324">
        <v>10327.127450980392</v>
      </c>
      <c r="G166" s="325">
        <v>10270.269896193771</v>
      </c>
      <c r="H166" s="325">
        <v>10211.417339484813</v>
      </c>
      <c r="I166" s="325">
        <v>10151.567281814687</v>
      </c>
      <c r="J166" s="325">
        <v>10090.719723183391</v>
      </c>
      <c r="K166" s="325">
        <v>10029.872164552095</v>
      </c>
      <c r="L166" s="324">
        <v>9970.0221068819683</v>
      </c>
      <c r="M166" s="324">
        <v>9914.162053056516</v>
      </c>
      <c r="N166" s="324">
        <v>9859.2995001922336</v>
      </c>
      <c r="O166" s="324">
        <v>9813.4144559784691</v>
      </c>
      <c r="P166" s="260">
        <v>535</v>
      </c>
      <c r="Q166" s="260" t="s">
        <v>190</v>
      </c>
      <c r="Z166" s="430"/>
    </row>
    <row r="167" spans="1:28" x14ac:dyDescent="0.2">
      <c r="A167" s="154" t="s">
        <v>191</v>
      </c>
      <c r="B167" s="342">
        <v>33866</v>
      </c>
      <c r="C167" s="342">
        <v>35346</v>
      </c>
      <c r="D167" s="342">
        <v>35647</v>
      </c>
      <c r="E167" s="319">
        <v>36176</v>
      </c>
      <c r="F167" s="324">
        <v>36578.066962305988</v>
      </c>
      <c r="G167" s="325">
        <v>36957.072727272724</v>
      </c>
      <c r="H167" s="325">
        <v>37318.030598669618</v>
      </c>
      <c r="I167" s="325">
        <v>37668.961862527714</v>
      </c>
      <c r="J167" s="325">
        <v>38014.879822616407</v>
      </c>
      <c r="K167" s="325">
        <v>38358.792461197336</v>
      </c>
      <c r="L167" s="324">
        <v>38698.694456762751</v>
      </c>
      <c r="M167" s="324">
        <v>39034.585809312644</v>
      </c>
      <c r="N167" s="324">
        <v>39370.477161862531</v>
      </c>
      <c r="O167" s="324">
        <v>39710.379157427938</v>
      </c>
      <c r="P167" s="260">
        <v>536</v>
      </c>
      <c r="Q167" s="260" t="s">
        <v>191</v>
      </c>
      <c r="Z167" s="430"/>
    </row>
    <row r="168" spans="1:28" x14ac:dyDescent="0.2">
      <c r="A168" s="154" t="s">
        <v>192</v>
      </c>
      <c r="B168" s="342">
        <v>4628</v>
      </c>
      <c r="C168" s="342">
        <v>4644</v>
      </c>
      <c r="D168" s="342">
        <v>4695</v>
      </c>
      <c r="E168" s="319">
        <v>4659</v>
      </c>
      <c r="F168" s="324">
        <v>4654.0362241636476</v>
      </c>
      <c r="G168" s="325">
        <v>4646.0941828254845</v>
      </c>
      <c r="H168" s="325">
        <v>4636.1666311527806</v>
      </c>
      <c r="I168" s="325">
        <v>4630.2101001491583</v>
      </c>
      <c r="J168" s="325">
        <v>4621.2753036437243</v>
      </c>
      <c r="K168" s="325">
        <v>4613.3332623055612</v>
      </c>
      <c r="L168" s="324">
        <v>4605.3912209673981</v>
      </c>
      <c r="M168" s="324">
        <v>4600.4274451310457</v>
      </c>
      <c r="N168" s="324">
        <v>4599.4346899637758</v>
      </c>
      <c r="O168" s="324">
        <v>4599.4346899637758</v>
      </c>
      <c r="P168" s="260">
        <v>538</v>
      </c>
      <c r="Q168" s="260" t="s">
        <v>192</v>
      </c>
      <c r="Z168" s="430"/>
    </row>
    <row r="169" spans="1:28" x14ac:dyDescent="0.2">
      <c r="A169" s="154" t="s">
        <v>193</v>
      </c>
      <c r="B169" s="342">
        <v>9330</v>
      </c>
      <c r="C169" s="342">
        <v>9243</v>
      </c>
      <c r="D169" s="342">
        <v>9130</v>
      </c>
      <c r="E169" s="319">
        <v>8980</v>
      </c>
      <c r="F169" s="324">
        <v>8854.3358507330086</v>
      </c>
      <c r="G169" s="325">
        <v>8733.6583740559763</v>
      </c>
      <c r="H169" s="325">
        <v>8617.9675699689033</v>
      </c>
      <c r="I169" s="325">
        <v>8506.2661039537979</v>
      </c>
      <c r="J169" s="325">
        <v>8400.5486450466451</v>
      </c>
      <c r="K169" s="325">
        <v>8298.8205242114618</v>
      </c>
      <c r="L169" s="324">
        <v>8203.0764104842292</v>
      </c>
      <c r="M169" s="324">
        <v>8110.3243003109728</v>
      </c>
      <c r="N169" s="324">
        <v>8018.5695246557079</v>
      </c>
      <c r="O169" s="324">
        <v>7933.7960906263879</v>
      </c>
      <c r="P169" s="260">
        <v>541</v>
      </c>
      <c r="Q169" s="260" t="s">
        <v>193</v>
      </c>
      <c r="Z169" s="430"/>
    </row>
    <row r="170" spans="1:28" x14ac:dyDescent="0.2">
      <c r="A170" s="154" t="s">
        <v>194</v>
      </c>
      <c r="B170" s="342">
        <v>43269</v>
      </c>
      <c r="C170" s="342">
        <v>44458</v>
      </c>
      <c r="D170" s="342">
        <v>44785</v>
      </c>
      <c r="E170" s="319">
        <v>45048</v>
      </c>
      <c r="F170" s="324">
        <v>45519.415211391984</v>
      </c>
      <c r="G170" s="325">
        <v>45964.972204437574</v>
      </c>
      <c r="H170" s="325">
        <v>46412.518291202119</v>
      </c>
      <c r="I170" s="325">
        <v>46852.108003090849</v>
      </c>
      <c r="J170" s="325">
        <v>47287.719527541667</v>
      </c>
      <c r="K170" s="325">
        <v>47720.347411414063</v>
      </c>
      <c r="L170" s="324">
        <v>48151.98074842697</v>
      </c>
      <c r="M170" s="324">
        <v>48582.619538580402</v>
      </c>
      <c r="N170" s="324">
        <v>49011.269235014894</v>
      </c>
      <c r="O170" s="324">
        <v>49440.913478308852</v>
      </c>
      <c r="P170" s="260">
        <v>543</v>
      </c>
      <c r="Q170" s="260" t="s">
        <v>194</v>
      </c>
      <c r="Z170" s="430"/>
    </row>
    <row r="171" spans="1:28" x14ac:dyDescent="0.2">
      <c r="A171" s="154" t="s">
        <v>195</v>
      </c>
      <c r="B171" s="342">
        <v>9491</v>
      </c>
      <c r="C171" s="342">
        <v>9584</v>
      </c>
      <c r="D171" s="342">
        <v>9621</v>
      </c>
      <c r="E171" s="319">
        <v>9554</v>
      </c>
      <c r="F171" s="324">
        <v>9615.936818275366</v>
      </c>
      <c r="G171" s="325">
        <v>9656.244906359334</v>
      </c>
      <c r="H171" s="325">
        <v>9698.5192426425201</v>
      </c>
      <c r="I171" s="325">
        <v>9734.8948343280535</v>
      </c>
      <c r="J171" s="325">
        <v>9772.2535501131952</v>
      </c>
      <c r="K171" s="325">
        <v>9806.6628935995104</v>
      </c>
      <c r="L171" s="324">
        <v>9841.0722370858239</v>
      </c>
      <c r="M171" s="324">
        <v>9876.4647046717473</v>
      </c>
      <c r="N171" s="324">
        <v>9905.9584276600181</v>
      </c>
      <c r="O171" s="324">
        <v>9931.5196542498525</v>
      </c>
      <c r="P171" s="260">
        <v>545</v>
      </c>
      <c r="Q171" s="260" t="s">
        <v>195</v>
      </c>
      <c r="Z171" s="430"/>
    </row>
    <row r="172" spans="1:28" s="268" customFormat="1" x14ac:dyDescent="0.2">
      <c r="A172" s="265" t="s">
        <v>196</v>
      </c>
      <c r="B172" s="323">
        <v>15867</v>
      </c>
      <c r="C172" s="323">
        <v>15735</v>
      </c>
      <c r="D172" s="323">
        <v>15669</v>
      </c>
      <c r="E172" s="320">
        <v>15651</v>
      </c>
      <c r="F172" s="324">
        <v>15584.826649583601</v>
      </c>
      <c r="G172" s="325">
        <v>15520.658552210121</v>
      </c>
      <c r="H172" s="325">
        <v>15458.495707879563</v>
      </c>
      <c r="I172" s="325">
        <v>15398.338116591927</v>
      </c>
      <c r="J172" s="325">
        <v>15336.175272261369</v>
      </c>
      <c r="K172" s="325">
        <v>15283.036066623958</v>
      </c>
      <c r="L172" s="324">
        <v>15230.899487508006</v>
      </c>
      <c r="M172" s="324">
        <v>15182.773414477899</v>
      </c>
      <c r="N172" s="324">
        <v>15140.663100576554</v>
      </c>
      <c r="O172" s="324">
        <v>15102.563292761051</v>
      </c>
      <c r="P172" s="260">
        <v>560</v>
      </c>
      <c r="Q172" s="260" t="s">
        <v>196</v>
      </c>
      <c r="R172" s="348"/>
      <c r="S172" s="348"/>
      <c r="T172" s="348"/>
      <c r="U172" s="348"/>
      <c r="V172" s="348"/>
      <c r="W172" s="348"/>
      <c r="X172" s="348"/>
      <c r="Y172" s="348"/>
      <c r="Z172" s="430"/>
      <c r="AA172" s="348"/>
      <c r="AB172" s="348"/>
    </row>
    <row r="173" spans="1:28" x14ac:dyDescent="0.2">
      <c r="A173" s="154" t="s">
        <v>197</v>
      </c>
      <c r="B173" s="342">
        <v>1321</v>
      </c>
      <c r="C173" s="342">
        <v>1317</v>
      </c>
      <c r="D173" s="342">
        <v>1315</v>
      </c>
      <c r="E173" s="319">
        <v>1304</v>
      </c>
      <c r="F173" s="324">
        <v>1297.0214067278289</v>
      </c>
      <c r="G173" s="325">
        <v>1287.0519877675843</v>
      </c>
      <c r="H173" s="325">
        <v>1281.0703363914374</v>
      </c>
      <c r="I173" s="325">
        <v>1274.0917431192661</v>
      </c>
      <c r="J173" s="325">
        <v>1267.113149847095</v>
      </c>
      <c r="K173" s="325">
        <v>1264.1223241590217</v>
      </c>
      <c r="L173" s="324">
        <v>1258.1406727828748</v>
      </c>
      <c r="M173" s="324">
        <v>1255.1498470948013</v>
      </c>
      <c r="N173" s="324">
        <v>1252.1590214067278</v>
      </c>
      <c r="O173" s="324">
        <v>1250.1651376146788</v>
      </c>
      <c r="P173" s="260">
        <v>561</v>
      </c>
      <c r="Q173" s="260" t="s">
        <v>197</v>
      </c>
      <c r="Z173" s="430"/>
    </row>
    <row r="174" spans="1:28" x14ac:dyDescent="0.2">
      <c r="A174" s="154" t="s">
        <v>198</v>
      </c>
      <c r="B174" s="342">
        <v>8951</v>
      </c>
      <c r="C174" s="342">
        <v>8935</v>
      </c>
      <c r="D174" s="342">
        <v>8839</v>
      </c>
      <c r="E174" s="319">
        <v>8869</v>
      </c>
      <c r="F174" s="324">
        <v>8792.0103940605368</v>
      </c>
      <c r="G174" s="325">
        <v>8722.1119360365501</v>
      </c>
      <c r="H174" s="325">
        <v>8658.2916047972576</v>
      </c>
      <c r="I174" s="325">
        <v>8601.5624214734416</v>
      </c>
      <c r="J174" s="325">
        <v>8551.924386065104</v>
      </c>
      <c r="K174" s="325">
        <v>8506.3384351798959</v>
      </c>
      <c r="L174" s="324">
        <v>8467.8436322101643</v>
      </c>
      <c r="M174" s="324">
        <v>8433.4009137635621</v>
      </c>
      <c r="N174" s="324">
        <v>8403.0102798400894</v>
      </c>
      <c r="O174" s="324">
        <v>8379.7107938320933</v>
      </c>
      <c r="P174" s="260">
        <v>562</v>
      </c>
      <c r="Q174" s="260" t="s">
        <v>198</v>
      </c>
      <c r="Z174" s="430"/>
    </row>
    <row r="175" spans="1:28" x14ac:dyDescent="0.2">
      <c r="A175" s="154" t="s">
        <v>23</v>
      </c>
      <c r="B175" s="342">
        <v>7185</v>
      </c>
      <c r="C175" s="342">
        <v>7025</v>
      </c>
      <c r="D175" s="342">
        <v>6978</v>
      </c>
      <c r="E175" s="319">
        <v>6912</v>
      </c>
      <c r="F175" s="324">
        <v>6842.0202487706101</v>
      </c>
      <c r="G175" s="325">
        <v>6773.0402082730689</v>
      </c>
      <c r="H175" s="325">
        <v>6705.0598785073762</v>
      </c>
      <c r="I175" s="325">
        <v>6642.0781024009257</v>
      </c>
      <c r="J175" s="325">
        <v>6584.0948799537173</v>
      </c>
      <c r="K175" s="325">
        <v>6528.1110789702061</v>
      </c>
      <c r="L175" s="324">
        <v>6475.1264101822399</v>
      </c>
      <c r="M175" s="324">
        <v>6424.1411628579699</v>
      </c>
      <c r="N175" s="324">
        <v>6374.1556262655486</v>
      </c>
      <c r="O175" s="324">
        <v>6331.1680647960666</v>
      </c>
      <c r="P175" s="260">
        <v>563</v>
      </c>
      <c r="Q175" s="260" t="s">
        <v>23</v>
      </c>
      <c r="Z175" s="430"/>
    </row>
    <row r="176" spans="1:28" x14ac:dyDescent="0.2">
      <c r="A176" s="154" t="s">
        <v>199</v>
      </c>
      <c r="B176" s="342">
        <v>208198</v>
      </c>
      <c r="C176" s="342">
        <v>211848</v>
      </c>
      <c r="D176" s="342">
        <v>214633</v>
      </c>
      <c r="E176" s="319">
        <v>216152</v>
      </c>
      <c r="F176" s="324">
        <v>218640.45965549757</v>
      </c>
      <c r="G176" s="325">
        <v>220918.15085435688</v>
      </c>
      <c r="H176" s="325">
        <v>223145.13832072305</v>
      </c>
      <c r="I176" s="325">
        <v>225325.39881792883</v>
      </c>
      <c r="J176" s="325">
        <v>227444.01948347627</v>
      </c>
      <c r="K176" s="325">
        <v>229501.00031736537</v>
      </c>
      <c r="L176" s="324">
        <v>231473.47493043257</v>
      </c>
      <c r="M176" s="324">
        <v>233364.42589517741</v>
      </c>
      <c r="N176" s="324">
        <v>235175.84159326632</v>
      </c>
      <c r="O176" s="324">
        <v>236883.86144470249</v>
      </c>
      <c r="P176" s="260">
        <v>564</v>
      </c>
      <c r="Q176" s="260" t="s">
        <v>199</v>
      </c>
      <c r="Z176" s="430"/>
    </row>
    <row r="177" spans="1:26" x14ac:dyDescent="0.2">
      <c r="A177" s="154" t="s">
        <v>200</v>
      </c>
      <c r="B177" s="342">
        <v>6506</v>
      </c>
      <c r="C177" s="342">
        <v>6457</v>
      </c>
      <c r="D177" s="342">
        <v>6409</v>
      </c>
      <c r="E177" s="319">
        <v>6444</v>
      </c>
      <c r="F177" s="324">
        <v>6375.9867674858224</v>
      </c>
      <c r="G177" s="325">
        <v>6306.958412098299</v>
      </c>
      <c r="H177" s="325">
        <v>6238.9451795841214</v>
      </c>
      <c r="I177" s="325">
        <v>6171.9470699432895</v>
      </c>
      <c r="J177" s="325">
        <v>6109.0094517958414</v>
      </c>
      <c r="K177" s="325">
        <v>6045.0567107750476</v>
      </c>
      <c r="L177" s="324">
        <v>5982.1190926275995</v>
      </c>
      <c r="M177" s="324">
        <v>5923.2419659735351</v>
      </c>
      <c r="N177" s="324">
        <v>5863.3497164461251</v>
      </c>
      <c r="O177" s="324">
        <v>5809.5482041587902</v>
      </c>
      <c r="P177" s="260">
        <v>309</v>
      </c>
      <c r="Q177" s="260" t="s">
        <v>200</v>
      </c>
      <c r="Z177" s="430"/>
    </row>
    <row r="178" spans="1:26" x14ac:dyDescent="0.2">
      <c r="A178" s="154" t="s">
        <v>201</v>
      </c>
      <c r="B178" s="342">
        <v>2788</v>
      </c>
      <c r="C178" s="342">
        <v>2750</v>
      </c>
      <c r="D178" s="342">
        <v>2726</v>
      </c>
      <c r="E178" s="319">
        <v>2676</v>
      </c>
      <c r="F178" s="324">
        <v>2636.059701492537</v>
      </c>
      <c r="G178" s="325">
        <v>2598.1164179104476</v>
      </c>
      <c r="H178" s="325">
        <v>2561.1716417910447</v>
      </c>
      <c r="I178" s="325">
        <v>2527.2223880597016</v>
      </c>
      <c r="J178" s="325">
        <v>2496.2686567164183</v>
      </c>
      <c r="K178" s="325">
        <v>2466.313432835821</v>
      </c>
      <c r="L178" s="324">
        <v>2440.35223880597</v>
      </c>
      <c r="M178" s="324">
        <v>2417.3865671641788</v>
      </c>
      <c r="N178" s="324">
        <v>2395.4194029850742</v>
      </c>
      <c r="O178" s="324">
        <v>2375.4492537313431</v>
      </c>
      <c r="P178" s="260">
        <v>576</v>
      </c>
      <c r="Q178" s="260" t="s">
        <v>201</v>
      </c>
      <c r="Z178" s="430"/>
    </row>
    <row r="179" spans="1:26" x14ac:dyDescent="0.2">
      <c r="A179" s="154" t="s">
        <v>202</v>
      </c>
      <c r="B179" s="342">
        <v>10906</v>
      </c>
      <c r="C179" s="342">
        <v>11138</v>
      </c>
      <c r="D179" s="342">
        <v>11236</v>
      </c>
      <c r="E179" s="319">
        <v>11221</v>
      </c>
      <c r="F179" s="324">
        <v>11307.185839145404</v>
      </c>
      <c r="G179" s="325">
        <v>11384.455901827492</v>
      </c>
      <c r="H179" s="325">
        <v>11462.716606338836</v>
      </c>
      <c r="I179" s="325">
        <v>11534.042818045378</v>
      </c>
      <c r="J179" s="325">
        <v>11605.369029751921</v>
      </c>
      <c r="K179" s="325">
        <v>11673.723315970688</v>
      </c>
      <c r="L179" s="324">
        <v>11740.096318530943</v>
      </c>
      <c r="M179" s="324">
        <v>11808.450604749713</v>
      </c>
      <c r="N179" s="324">
        <v>11871.851681822192</v>
      </c>
      <c r="O179" s="324">
        <v>11935.252758894674</v>
      </c>
      <c r="P179" s="260">
        <v>577</v>
      </c>
      <c r="Q179" s="260" t="s">
        <v>202</v>
      </c>
      <c r="Z179" s="430"/>
    </row>
    <row r="180" spans="1:26" x14ac:dyDescent="0.2">
      <c r="A180" s="154" t="s">
        <v>203</v>
      </c>
      <c r="B180" s="342">
        <v>3180</v>
      </c>
      <c r="C180" s="342">
        <v>3100</v>
      </c>
      <c r="D180" s="342">
        <v>3037</v>
      </c>
      <c r="E180" s="319">
        <v>2990</v>
      </c>
      <c r="F180" s="324">
        <v>2933.7743451981196</v>
      </c>
      <c r="G180" s="325">
        <v>2875.5406312961723</v>
      </c>
      <c r="H180" s="325">
        <v>2820.3190060443253</v>
      </c>
      <c r="I180" s="325">
        <v>2768.1094694425792</v>
      </c>
      <c r="J180" s="325">
        <v>2718.912021490934</v>
      </c>
      <c r="K180" s="325">
        <v>2673.730691739423</v>
      </c>
      <c r="L180" s="324">
        <v>2630.557421087979</v>
      </c>
      <c r="M180" s="324">
        <v>2591.4002686366694</v>
      </c>
      <c r="N180" s="324">
        <v>2553.2471457353936</v>
      </c>
      <c r="O180" s="324">
        <v>2519.1101410342521</v>
      </c>
      <c r="P180" s="260">
        <v>578</v>
      </c>
      <c r="Q180" s="260" t="s">
        <v>203</v>
      </c>
      <c r="Z180" s="430"/>
    </row>
    <row r="181" spans="1:26" x14ac:dyDescent="0.2">
      <c r="A181" s="265" t="s">
        <v>381</v>
      </c>
      <c r="B181" s="342">
        <v>14960</v>
      </c>
      <c r="C181" s="342">
        <v>14991</v>
      </c>
      <c r="D181" s="342">
        <v>14999</v>
      </c>
      <c r="E181" s="319">
        <v>14868</v>
      </c>
      <c r="F181" s="324">
        <v>14828.259271633813</v>
      </c>
      <c r="G181" s="325">
        <v>14785.537988640161</v>
      </c>
      <c r="H181" s="325">
        <v>14748.777814901438</v>
      </c>
      <c r="I181" s="325">
        <v>14717.978750417642</v>
      </c>
      <c r="J181" s="325">
        <v>14684.199131306383</v>
      </c>
      <c r="K181" s="325">
        <v>14653.400066822587</v>
      </c>
      <c r="L181" s="324">
        <v>14623.594520547947</v>
      </c>
      <c r="M181" s="324">
        <v>14600.743601737389</v>
      </c>
      <c r="N181" s="324">
        <v>14580.873237554295</v>
      </c>
      <c r="O181" s="324">
        <v>14568.95101904444</v>
      </c>
      <c r="P181" s="260">
        <v>445</v>
      </c>
      <c r="Q181" s="260" t="s">
        <v>381</v>
      </c>
      <c r="Z181" s="430"/>
    </row>
    <row r="182" spans="1:26" x14ac:dyDescent="0.2">
      <c r="A182" s="154" t="s">
        <v>204</v>
      </c>
      <c r="B182" s="342">
        <v>4491</v>
      </c>
      <c r="C182" s="342">
        <v>4438</v>
      </c>
      <c r="D182" s="342">
        <v>4366</v>
      </c>
      <c r="E182" s="319">
        <v>4300</v>
      </c>
      <c r="F182" s="324">
        <v>4219.7012138188611</v>
      </c>
      <c r="G182" s="325">
        <v>4137.3949579831933</v>
      </c>
      <c r="H182" s="325">
        <v>4059.1036414565829</v>
      </c>
      <c r="I182" s="325">
        <v>3981.8160597572364</v>
      </c>
      <c r="J182" s="325">
        <v>3907.5396825396824</v>
      </c>
      <c r="K182" s="325">
        <v>3836.2745098039213</v>
      </c>
      <c r="L182" s="324">
        <v>3765.0093370681602</v>
      </c>
      <c r="M182" s="324">
        <v>3696.755368814192</v>
      </c>
      <c r="N182" s="324">
        <v>3634.5238095238092</v>
      </c>
      <c r="O182" s="324">
        <v>3576.3071895424832</v>
      </c>
      <c r="P182" s="260">
        <v>580</v>
      </c>
      <c r="Q182" s="260" t="s">
        <v>204</v>
      </c>
      <c r="Z182" s="430"/>
    </row>
    <row r="183" spans="1:26" x14ac:dyDescent="0.2">
      <c r="A183" s="154" t="s">
        <v>205</v>
      </c>
      <c r="B183" s="342">
        <v>6243</v>
      </c>
      <c r="C183" s="342">
        <v>6240</v>
      </c>
      <c r="D183" s="342">
        <v>6123</v>
      </c>
      <c r="E183" s="319">
        <v>6069</v>
      </c>
      <c r="F183" s="324">
        <v>6003.8281843713867</v>
      </c>
      <c r="G183" s="325">
        <v>5940.6616553774993</v>
      </c>
      <c r="H183" s="325">
        <v>5879.5004130183388</v>
      </c>
      <c r="I183" s="325">
        <v>5820.3444572939052</v>
      </c>
      <c r="J183" s="325">
        <v>5766.2017181562878</v>
      </c>
      <c r="K183" s="325">
        <v>5717.0721956054867</v>
      </c>
      <c r="L183" s="324">
        <v>5668.9453163720491</v>
      </c>
      <c r="M183" s="324">
        <v>5623.8263670907008</v>
      </c>
      <c r="N183" s="324">
        <v>5580.7127044440795</v>
      </c>
      <c r="O183" s="324">
        <v>5539.604328432184</v>
      </c>
      <c r="P183" s="260">
        <v>581</v>
      </c>
      <c r="Q183" s="260" t="s">
        <v>205</v>
      </c>
      <c r="Z183" s="430"/>
    </row>
    <row r="184" spans="1:26" x14ac:dyDescent="0.2">
      <c r="A184" s="265" t="s">
        <v>206</v>
      </c>
      <c r="B184" s="342">
        <v>10978</v>
      </c>
      <c r="C184" s="342">
        <v>11206</v>
      </c>
      <c r="D184" s="342">
        <v>11225</v>
      </c>
      <c r="E184" s="319">
        <v>11226</v>
      </c>
      <c r="F184" s="324">
        <v>11272.779147087507</v>
      </c>
      <c r="G184" s="325">
        <v>11311.595886160119</v>
      </c>
      <c r="H184" s="325">
        <v>11347.426722227146</v>
      </c>
      <c r="I184" s="325">
        <v>11385.248160297899</v>
      </c>
      <c r="J184" s="325">
        <v>11422.074297366789</v>
      </c>
      <c r="K184" s="325">
        <v>11464.872240446848</v>
      </c>
      <c r="L184" s="324">
        <v>11506.674882525047</v>
      </c>
      <c r="M184" s="324">
        <v>11550.468126606969</v>
      </c>
      <c r="N184" s="324">
        <v>11598.242574696338</v>
      </c>
      <c r="O184" s="324">
        <v>11644.026420781984</v>
      </c>
      <c r="P184" s="260">
        <v>599</v>
      </c>
      <c r="Q184" s="260" t="s">
        <v>206</v>
      </c>
      <c r="Z184" s="430"/>
    </row>
    <row r="185" spans="1:26" x14ac:dyDescent="0.2">
      <c r="A185" s="154" t="s">
        <v>207</v>
      </c>
      <c r="B185" s="342">
        <v>945</v>
      </c>
      <c r="C185" s="342">
        <v>947</v>
      </c>
      <c r="D185" s="342">
        <v>912</v>
      </c>
      <c r="E185" s="319">
        <v>910</v>
      </c>
      <c r="F185" s="324">
        <v>905.98676957001112</v>
      </c>
      <c r="G185" s="325">
        <v>903.98015435501657</v>
      </c>
      <c r="H185" s="325">
        <v>902.97684674751929</v>
      </c>
      <c r="I185" s="325">
        <v>902.97684674751929</v>
      </c>
      <c r="J185" s="325">
        <v>901.97353914002213</v>
      </c>
      <c r="K185" s="325">
        <v>899.96692392502769</v>
      </c>
      <c r="L185" s="324">
        <v>900.97023153252496</v>
      </c>
      <c r="M185" s="324">
        <v>896.95700110253597</v>
      </c>
      <c r="N185" s="324">
        <v>894.95038588754142</v>
      </c>
      <c r="O185" s="324">
        <v>892.94377067254698</v>
      </c>
      <c r="P185" s="260">
        <v>583</v>
      </c>
      <c r="Q185" s="260" t="s">
        <v>207</v>
      </c>
      <c r="Z185" s="430"/>
    </row>
    <row r="186" spans="1:26" x14ac:dyDescent="0.2">
      <c r="A186" s="154" t="s">
        <v>208</v>
      </c>
      <c r="B186" s="342">
        <v>3242</v>
      </c>
      <c r="C186" s="342">
        <v>3262</v>
      </c>
      <c r="D186" s="342">
        <v>3253</v>
      </c>
      <c r="E186" s="319">
        <v>3191</v>
      </c>
      <c r="F186" s="324">
        <v>3156.315217391304</v>
      </c>
      <c r="G186" s="325">
        <v>3125.594409937888</v>
      </c>
      <c r="H186" s="325">
        <v>3097.8465838509314</v>
      </c>
      <c r="I186" s="325">
        <v>3071.089751552795</v>
      </c>
      <c r="J186" s="325">
        <v>3045.3239130434781</v>
      </c>
      <c r="K186" s="325">
        <v>3017.5760869565215</v>
      </c>
      <c r="L186" s="324">
        <v>2991.8102484472047</v>
      </c>
      <c r="M186" s="324">
        <v>2967.035403726708</v>
      </c>
      <c r="N186" s="324">
        <v>2943.2515527950309</v>
      </c>
      <c r="O186" s="324">
        <v>2919.4677018633538</v>
      </c>
      <c r="P186" s="260">
        <v>854</v>
      </c>
      <c r="Q186" s="260" t="s">
        <v>208</v>
      </c>
      <c r="Z186" s="430"/>
    </row>
    <row r="187" spans="1:26" x14ac:dyDescent="0.2">
      <c r="A187" s="154" t="s">
        <v>209</v>
      </c>
      <c r="B187" s="342">
        <v>2757</v>
      </c>
      <c r="C187" s="342">
        <v>2653</v>
      </c>
      <c r="D187" s="342">
        <v>2578</v>
      </c>
      <c r="E187" s="319">
        <v>2594</v>
      </c>
      <c r="F187" s="324">
        <v>2549.999211045365</v>
      </c>
      <c r="G187" s="325">
        <v>2501.9053254437868</v>
      </c>
      <c r="H187" s="325">
        <v>2456.8812623274162</v>
      </c>
      <c r="I187" s="325">
        <v>2410.8339250493095</v>
      </c>
      <c r="J187" s="325">
        <v>2365.8098619329389</v>
      </c>
      <c r="K187" s="325">
        <v>2321.8090729783039</v>
      </c>
      <c r="L187" s="324">
        <v>2280.878106508876</v>
      </c>
      <c r="M187" s="324">
        <v>2239.9471400394482</v>
      </c>
      <c r="N187" s="324">
        <v>2202.0859960552275</v>
      </c>
      <c r="O187" s="324">
        <v>2164.2248520710068</v>
      </c>
      <c r="P187" s="260">
        <v>584</v>
      </c>
      <c r="Q187" s="260" t="s">
        <v>209</v>
      </c>
      <c r="Z187" s="430"/>
    </row>
    <row r="188" spans="1:26" x14ac:dyDescent="0.2">
      <c r="A188" s="154" t="s">
        <v>210</v>
      </c>
      <c r="B188" s="342">
        <v>1640</v>
      </c>
      <c r="C188" s="342">
        <v>1600</v>
      </c>
      <c r="D188" s="342">
        <v>1577</v>
      </c>
      <c r="E188" s="319">
        <v>1525</v>
      </c>
      <c r="F188" s="324">
        <v>1500.355526826115</v>
      </c>
      <c r="G188" s="325">
        <v>1478.6683904330964</v>
      </c>
      <c r="H188" s="325">
        <v>1459.9385908209438</v>
      </c>
      <c r="I188" s="325">
        <v>1443.1803490627021</v>
      </c>
      <c r="J188" s="325">
        <v>1429.3794440853267</v>
      </c>
      <c r="K188" s="325">
        <v>1415.5785391079512</v>
      </c>
      <c r="L188" s="324">
        <v>1402.7634130575311</v>
      </c>
      <c r="M188" s="324">
        <v>1391.9198448610218</v>
      </c>
      <c r="N188" s="324">
        <v>1382.0620555914679</v>
      </c>
      <c r="O188" s="324">
        <v>1374.1758241758248</v>
      </c>
      <c r="P188" s="260">
        <v>588</v>
      </c>
      <c r="Q188" s="260" t="s">
        <v>210</v>
      </c>
      <c r="Z188" s="430"/>
    </row>
    <row r="189" spans="1:26" x14ac:dyDescent="0.2">
      <c r="A189" s="154" t="s">
        <v>211</v>
      </c>
      <c r="B189" s="342">
        <v>3750</v>
      </c>
      <c r="C189" s="342">
        <v>3651</v>
      </c>
      <c r="D189" s="342">
        <v>3596</v>
      </c>
      <c r="E189" s="319">
        <v>3552</v>
      </c>
      <c r="F189" s="324">
        <v>3504.9735211267607</v>
      </c>
      <c r="G189" s="325">
        <v>3459.9481690140847</v>
      </c>
      <c r="H189" s="325">
        <v>3414.9228169014086</v>
      </c>
      <c r="I189" s="325">
        <v>3369.8974647887326</v>
      </c>
      <c r="J189" s="325">
        <v>3327.8738028169018</v>
      </c>
      <c r="K189" s="325">
        <v>3290.8529577464792</v>
      </c>
      <c r="L189" s="324">
        <v>3257.8343661971835</v>
      </c>
      <c r="M189" s="324">
        <v>3229.8185915492959</v>
      </c>
      <c r="N189" s="324">
        <v>3204.8045070422536</v>
      </c>
      <c r="O189" s="324">
        <v>3180.7909859154929</v>
      </c>
      <c r="P189" s="260">
        <v>592</v>
      </c>
      <c r="Q189" s="260" t="s">
        <v>211</v>
      </c>
      <c r="Z189" s="430"/>
    </row>
    <row r="190" spans="1:26" x14ac:dyDescent="0.2">
      <c r="A190" s="154" t="s">
        <v>212</v>
      </c>
      <c r="B190" s="342">
        <v>17152</v>
      </c>
      <c r="C190" s="342">
        <v>17077</v>
      </c>
      <c r="D190" s="342">
        <v>17050</v>
      </c>
      <c r="E190" s="319">
        <v>17178</v>
      </c>
      <c r="F190" s="324">
        <v>17035.814827953174</v>
      </c>
      <c r="G190" s="325">
        <v>16891.598439162823</v>
      </c>
      <c r="H190" s="325">
        <v>16754.491308974812</v>
      </c>
      <c r="I190" s="325">
        <v>16622.462220645615</v>
      </c>
      <c r="J190" s="325">
        <v>16499.573607662289</v>
      </c>
      <c r="K190" s="325">
        <v>16376.684994678961</v>
      </c>
      <c r="L190" s="324">
        <v>16258.874423554447</v>
      </c>
      <c r="M190" s="324">
        <v>16142.079460801699</v>
      </c>
      <c r="N190" s="324">
        <v>16031.378148279528</v>
      </c>
      <c r="O190" s="324">
        <v>15921.692444129119</v>
      </c>
      <c r="P190" s="260">
        <v>593</v>
      </c>
      <c r="Q190" s="260" t="s">
        <v>212</v>
      </c>
      <c r="Z190" s="430"/>
    </row>
    <row r="191" spans="1:26" x14ac:dyDescent="0.2">
      <c r="A191" s="154" t="s">
        <v>213</v>
      </c>
      <c r="B191" s="342">
        <v>4310</v>
      </c>
      <c r="C191" s="342">
        <v>4140</v>
      </c>
      <c r="D191" s="342">
        <v>4073</v>
      </c>
      <c r="E191" s="319">
        <v>3980</v>
      </c>
      <c r="F191" s="324">
        <v>3905.3003003003005</v>
      </c>
      <c r="G191" s="325">
        <v>3832.5925925925931</v>
      </c>
      <c r="H191" s="325">
        <v>3765.8608608608615</v>
      </c>
      <c r="I191" s="325">
        <v>3703.1131131131137</v>
      </c>
      <c r="J191" s="325">
        <v>3642.3573573573581</v>
      </c>
      <c r="K191" s="325">
        <v>3587.5775775775783</v>
      </c>
      <c r="L191" s="324">
        <v>3534.7897897897906</v>
      </c>
      <c r="M191" s="324">
        <v>3489.9699699699704</v>
      </c>
      <c r="N191" s="324">
        <v>3446.1461461461467</v>
      </c>
      <c r="O191" s="324">
        <v>3401.326326326327</v>
      </c>
      <c r="P191" s="260">
        <v>595</v>
      </c>
      <c r="Q191" s="260" t="s">
        <v>213</v>
      </c>
      <c r="Z191" s="430"/>
    </row>
    <row r="192" spans="1:26" x14ac:dyDescent="0.2">
      <c r="A192" s="154" t="s">
        <v>214</v>
      </c>
      <c r="B192" s="342">
        <v>18978</v>
      </c>
      <c r="C192" s="342">
        <v>19207</v>
      </c>
      <c r="D192" s="342">
        <v>19475</v>
      </c>
      <c r="E192" s="319">
        <v>19576</v>
      </c>
      <c r="F192" s="324">
        <v>19680.663170222517</v>
      </c>
      <c r="G192" s="325">
        <v>19742.464280258668</v>
      </c>
      <c r="H192" s="325">
        <v>19806.258974489538</v>
      </c>
      <c r="I192" s="325">
        <v>19866.066500330977</v>
      </c>
      <c r="J192" s="325">
        <v>19921.886857782985</v>
      </c>
      <c r="K192" s="325">
        <v>19978.704007332351</v>
      </c>
      <c r="L192" s="324">
        <v>20038.511533173787</v>
      </c>
      <c r="M192" s="324">
        <v>20101.309435307296</v>
      </c>
      <c r="N192" s="324">
        <v>20162.113753246093</v>
      </c>
      <c r="O192" s="324">
        <v>20223.914863282243</v>
      </c>
      <c r="P192" s="260">
        <v>598</v>
      </c>
      <c r="Q192" s="260" t="s">
        <v>214</v>
      </c>
      <c r="Z192" s="430"/>
    </row>
    <row r="193" spans="1:28" x14ac:dyDescent="0.2">
      <c r="A193" s="154" t="s">
        <v>215</v>
      </c>
      <c r="B193" s="342">
        <v>3867</v>
      </c>
      <c r="C193" s="342">
        <v>3786</v>
      </c>
      <c r="D193" s="342">
        <v>3739</v>
      </c>
      <c r="E193" s="319">
        <v>3692</v>
      </c>
      <c r="F193" s="324">
        <v>3630.75115583356</v>
      </c>
      <c r="G193" s="325">
        <v>3573.5186293173783</v>
      </c>
      <c r="H193" s="325">
        <v>3520.302420451455</v>
      </c>
      <c r="I193" s="325">
        <v>3466.0821321729668</v>
      </c>
      <c r="J193" s="325">
        <v>3417.8863203698666</v>
      </c>
      <c r="K193" s="325">
        <v>3370.6945879793307</v>
      </c>
      <c r="L193" s="324">
        <v>3326.5150938264887</v>
      </c>
      <c r="M193" s="324">
        <v>3287.3559967364699</v>
      </c>
      <c r="N193" s="324">
        <v>3249.2009790590155</v>
      </c>
      <c r="O193" s="324">
        <v>3214.0581996192545</v>
      </c>
      <c r="P193" s="260">
        <v>601</v>
      </c>
      <c r="Q193" s="260" t="s">
        <v>215</v>
      </c>
      <c r="Z193" s="430"/>
    </row>
    <row r="194" spans="1:28" x14ac:dyDescent="0.2">
      <c r="A194" s="154" t="s">
        <v>216</v>
      </c>
      <c r="B194" s="342">
        <v>19698</v>
      </c>
      <c r="C194" s="342">
        <v>20405</v>
      </c>
      <c r="D194" s="342">
        <v>20763</v>
      </c>
      <c r="E194" s="319">
        <v>21042</v>
      </c>
      <c r="F194" s="324">
        <v>21325.609131033172</v>
      </c>
      <c r="G194" s="325">
        <v>21589.245788049924</v>
      </c>
      <c r="H194" s="325">
        <v>21843.894831759288</v>
      </c>
      <c r="I194" s="325">
        <v>22086.5603910588</v>
      </c>
      <c r="J194" s="325">
        <v>22317.242465948457</v>
      </c>
      <c r="K194" s="325">
        <v>22540.934174932372</v>
      </c>
      <c r="L194" s="324">
        <v>22755.638270608895</v>
      </c>
      <c r="M194" s="324">
        <v>22965.349247781312</v>
      </c>
      <c r="N194" s="324">
        <v>23171.065730150443</v>
      </c>
      <c r="O194" s="324">
        <v>23372.787717716295</v>
      </c>
      <c r="P194" s="260">
        <v>604</v>
      </c>
      <c r="Q194" s="260" t="s">
        <v>216</v>
      </c>
      <c r="Z194" s="430"/>
    </row>
    <row r="195" spans="1:28" x14ac:dyDescent="0.2">
      <c r="A195" s="154" t="s">
        <v>217</v>
      </c>
      <c r="B195" s="342">
        <v>4110</v>
      </c>
      <c r="C195" s="342">
        <v>4084</v>
      </c>
      <c r="D195" s="342">
        <v>4064</v>
      </c>
      <c r="E195" s="319">
        <v>3999</v>
      </c>
      <c r="F195" s="324">
        <v>3961.2642165383659</v>
      </c>
      <c r="G195" s="325">
        <v>3922.535386143531</v>
      </c>
      <c r="H195" s="325">
        <v>3884.7996026818969</v>
      </c>
      <c r="I195" s="325">
        <v>3845.0777253538613</v>
      </c>
      <c r="J195" s="325">
        <v>3803.3697541594238</v>
      </c>
      <c r="K195" s="325">
        <v>3764.6409237645889</v>
      </c>
      <c r="L195" s="324">
        <v>3726.9051403029548</v>
      </c>
      <c r="M195" s="324">
        <v>3691.1554507077226</v>
      </c>
      <c r="N195" s="324">
        <v>3655.4057611124904</v>
      </c>
      <c r="O195" s="324">
        <v>3622.6352123168608</v>
      </c>
      <c r="P195" s="260">
        <v>607</v>
      </c>
      <c r="Q195" s="260" t="s">
        <v>217</v>
      </c>
      <c r="Z195" s="430"/>
    </row>
    <row r="196" spans="1:28" x14ac:dyDescent="0.2">
      <c r="A196" s="154" t="s">
        <v>218</v>
      </c>
      <c r="B196" s="342">
        <v>2035</v>
      </c>
      <c r="C196" s="342">
        <v>1980</v>
      </c>
      <c r="D196" s="342">
        <v>1943</v>
      </c>
      <c r="E196" s="319">
        <v>1931</v>
      </c>
      <c r="F196" s="324">
        <v>1900.7177208572921</v>
      </c>
      <c r="G196" s="325">
        <v>1871.4448510193413</v>
      </c>
      <c r="H196" s="325">
        <v>1843.1813904861474</v>
      </c>
      <c r="I196" s="325">
        <v>1816.9367485624673</v>
      </c>
      <c r="J196" s="325">
        <v>1792.710925248301</v>
      </c>
      <c r="K196" s="325">
        <v>1771.5133298484054</v>
      </c>
      <c r="L196" s="324">
        <v>1751.3251437532667</v>
      </c>
      <c r="M196" s="324">
        <v>1731.1369576581283</v>
      </c>
      <c r="N196" s="324">
        <v>1709.9393622582327</v>
      </c>
      <c r="O196" s="324">
        <v>1691.769994772608</v>
      </c>
      <c r="P196" s="260">
        <v>608</v>
      </c>
      <c r="Q196" s="260" t="s">
        <v>218</v>
      </c>
      <c r="Z196" s="430"/>
    </row>
    <row r="197" spans="1:28" s="268" customFormat="1" x14ac:dyDescent="0.2">
      <c r="A197" s="265" t="s">
        <v>219</v>
      </c>
      <c r="B197" s="323">
        <v>83265</v>
      </c>
      <c r="C197" s="323">
        <v>83205</v>
      </c>
      <c r="D197" s="323">
        <v>83106</v>
      </c>
      <c r="E197" s="320">
        <v>83305</v>
      </c>
      <c r="F197" s="324">
        <v>83129.348462576512</v>
      </c>
      <c r="G197" s="325">
        <v>82905.518217745441</v>
      </c>
      <c r="H197" s="325">
        <v>82684.699142127341</v>
      </c>
      <c r="I197" s="325">
        <v>82467.8949587932</v>
      </c>
      <c r="J197" s="325">
        <v>82255.105667743032</v>
      </c>
      <c r="K197" s="325">
        <v>82046.331268976821</v>
      </c>
      <c r="L197" s="324">
        <v>81840.568039423597</v>
      </c>
      <c r="M197" s="324">
        <v>81631.793640657401</v>
      </c>
      <c r="N197" s="324">
        <v>81426.030411104162</v>
      </c>
      <c r="O197" s="324">
        <v>81218.259735408952</v>
      </c>
      <c r="P197" s="260">
        <v>609</v>
      </c>
      <c r="Q197" s="260" t="s">
        <v>219</v>
      </c>
      <c r="R197" s="348"/>
      <c r="S197" s="348"/>
      <c r="T197" s="348"/>
      <c r="U197" s="348"/>
      <c r="V197" s="348"/>
      <c r="W197" s="348"/>
      <c r="X197" s="348"/>
      <c r="Y197" s="348"/>
      <c r="Z197" s="430"/>
      <c r="AA197" s="348"/>
      <c r="AB197" s="348"/>
    </row>
    <row r="198" spans="1:28" x14ac:dyDescent="0.2">
      <c r="A198" s="154" t="s">
        <v>220</v>
      </c>
      <c r="B198" s="342">
        <v>4964</v>
      </c>
      <c r="C198" s="342">
        <v>5011</v>
      </c>
      <c r="D198" s="342">
        <v>4973</v>
      </c>
      <c r="E198" s="319">
        <v>4961</v>
      </c>
      <c r="F198" s="324">
        <v>4946.9603800283003</v>
      </c>
      <c r="G198" s="325">
        <v>4937.9349100464933</v>
      </c>
      <c r="H198" s="325">
        <v>4935.9292500505362</v>
      </c>
      <c r="I198" s="325">
        <v>4934.9264200525577</v>
      </c>
      <c r="J198" s="325">
        <v>4938.9377400444719</v>
      </c>
      <c r="K198" s="325">
        <v>4949.9688700222359</v>
      </c>
      <c r="L198" s="324">
        <v>4961</v>
      </c>
      <c r="M198" s="324">
        <v>4977.0452799676568</v>
      </c>
      <c r="N198" s="324">
        <v>4993.0905599353136</v>
      </c>
      <c r="O198" s="324">
        <v>5012.144329896907</v>
      </c>
      <c r="P198" s="260">
        <v>611</v>
      </c>
      <c r="Q198" s="260" t="s">
        <v>220</v>
      </c>
      <c r="Z198" s="430"/>
    </row>
    <row r="199" spans="1:28" x14ac:dyDescent="0.2">
      <c r="A199" s="154" t="s">
        <v>221</v>
      </c>
      <c r="B199" s="342">
        <v>50408</v>
      </c>
      <c r="C199" s="342">
        <v>51232</v>
      </c>
      <c r="D199" s="342">
        <v>51289</v>
      </c>
      <c r="E199" s="319">
        <v>51737</v>
      </c>
      <c r="F199" s="324">
        <v>52034.488751645629</v>
      </c>
      <c r="G199" s="325">
        <v>52286.903450011618</v>
      </c>
      <c r="H199" s="325">
        <v>52530.303337721678</v>
      </c>
      <c r="I199" s="325">
        <v>52769.696642917996</v>
      </c>
      <c r="J199" s="325">
        <v>53003.080074343692</v>
      </c>
      <c r="K199" s="325">
        <v>53231.455277627203</v>
      </c>
      <c r="L199" s="324">
        <v>53457.82718965385</v>
      </c>
      <c r="M199" s="324">
        <v>53683.197456052054</v>
      </c>
      <c r="N199" s="324">
        <v>53914.577596220872</v>
      </c>
      <c r="O199" s="324">
        <v>54144.956090761254</v>
      </c>
      <c r="P199" s="260">
        <v>638</v>
      </c>
      <c r="Q199" s="260" t="s">
        <v>221</v>
      </c>
      <c r="Z199" s="430"/>
    </row>
    <row r="200" spans="1:28" x14ac:dyDescent="0.2">
      <c r="A200" s="154" t="s">
        <v>222</v>
      </c>
      <c r="B200" s="342">
        <v>3005</v>
      </c>
      <c r="C200" s="342">
        <v>2999</v>
      </c>
      <c r="D200" s="342">
        <v>2923</v>
      </c>
      <c r="E200" s="319">
        <v>2878</v>
      </c>
      <c r="F200" s="324">
        <v>2815.5661301609516</v>
      </c>
      <c r="G200" s="325">
        <v>2757.1602519244225</v>
      </c>
      <c r="H200" s="325">
        <v>2699.7613715885232</v>
      </c>
      <c r="I200" s="325">
        <v>2649.4114765570325</v>
      </c>
      <c r="J200" s="325">
        <v>2600.0685794261717</v>
      </c>
      <c r="K200" s="325">
        <v>2552.7396780965705</v>
      </c>
      <c r="L200" s="324">
        <v>2510.4457662701184</v>
      </c>
      <c r="M200" s="324">
        <v>2470.1658502449259</v>
      </c>
      <c r="N200" s="324">
        <v>2432.9069279216228</v>
      </c>
      <c r="O200" s="324">
        <v>2398.6689993002092</v>
      </c>
      <c r="P200" s="260">
        <v>614</v>
      </c>
      <c r="Q200" s="260" t="s">
        <v>222</v>
      </c>
      <c r="Z200" s="430"/>
    </row>
    <row r="201" spans="1:28" x14ac:dyDescent="0.2">
      <c r="A201" s="154" t="s">
        <v>223</v>
      </c>
      <c r="B201" s="342">
        <v>7623</v>
      </c>
      <c r="C201" s="342">
        <v>7603</v>
      </c>
      <c r="D201" s="342">
        <v>7479</v>
      </c>
      <c r="E201" s="319">
        <v>7304</v>
      </c>
      <c r="F201" s="324">
        <v>7214.0711676363144</v>
      </c>
      <c r="G201" s="325">
        <v>7123.1541063455552</v>
      </c>
      <c r="H201" s="325">
        <v>7035.2017318360167</v>
      </c>
      <c r="I201" s="325">
        <v>6952.1905019618453</v>
      </c>
      <c r="J201" s="325">
        <v>6871.1557299418209</v>
      </c>
      <c r="K201" s="325">
        <v>6792.0974157759438</v>
      </c>
      <c r="L201" s="324">
        <v>6716.0037883912864</v>
      </c>
      <c r="M201" s="324">
        <v>6648.8042213502913</v>
      </c>
      <c r="N201" s="324">
        <v>6583.5811121634424</v>
      </c>
      <c r="O201" s="324">
        <v>6522.3109186848869</v>
      </c>
      <c r="P201" s="260">
        <v>615</v>
      </c>
      <c r="Q201" s="260" t="s">
        <v>223</v>
      </c>
      <c r="Z201" s="430"/>
    </row>
    <row r="202" spans="1:28" x14ac:dyDescent="0.2">
      <c r="A202" s="154" t="s">
        <v>224</v>
      </c>
      <c r="B202" s="342">
        <v>1857</v>
      </c>
      <c r="C202" s="342">
        <v>1807</v>
      </c>
      <c r="D202" s="342">
        <v>1781</v>
      </c>
      <c r="E202" s="319">
        <v>1743</v>
      </c>
      <c r="F202" s="324">
        <v>1724.2048808172531</v>
      </c>
      <c r="G202" s="325">
        <v>1709.3666288308739</v>
      </c>
      <c r="H202" s="325">
        <v>1696.5068104426787</v>
      </c>
      <c r="I202" s="325">
        <v>1686.6146424517592</v>
      </c>
      <c r="J202" s="325">
        <v>1677.7116912599317</v>
      </c>
      <c r="K202" s="325">
        <v>1667.8195232690123</v>
      </c>
      <c r="L202" s="324">
        <v>1662.8734392735525</v>
      </c>
      <c r="M202" s="324">
        <v>1657.9273552780928</v>
      </c>
      <c r="N202" s="324">
        <v>1653.9704880817251</v>
      </c>
      <c r="O202" s="324">
        <v>1651.9920544835411</v>
      </c>
      <c r="P202" s="260">
        <v>616</v>
      </c>
      <c r="Q202" s="260" t="s">
        <v>224</v>
      </c>
      <c r="Z202" s="430"/>
    </row>
    <row r="203" spans="1:28" x14ac:dyDescent="0.2">
      <c r="A203" s="154" t="s">
        <v>225</v>
      </c>
      <c r="B203" s="342">
        <v>2739</v>
      </c>
      <c r="C203" s="342">
        <v>2675</v>
      </c>
      <c r="D203" s="342">
        <v>2650</v>
      </c>
      <c r="E203" s="319">
        <v>2607</v>
      </c>
      <c r="F203" s="324">
        <v>2562</v>
      </c>
      <c r="G203" s="325">
        <v>2519</v>
      </c>
      <c r="H203" s="325">
        <v>2481</v>
      </c>
      <c r="I203" s="325">
        <v>2447</v>
      </c>
      <c r="J203" s="325">
        <v>2417</v>
      </c>
      <c r="K203" s="325">
        <v>2392</v>
      </c>
      <c r="L203" s="324">
        <v>2370</v>
      </c>
      <c r="M203" s="324">
        <v>2348</v>
      </c>
      <c r="N203" s="324">
        <v>2330</v>
      </c>
      <c r="O203" s="324">
        <v>2313</v>
      </c>
      <c r="P203" s="260">
        <v>619</v>
      </c>
      <c r="Q203" s="260" t="s">
        <v>225</v>
      </c>
      <c r="Z203" s="430"/>
    </row>
    <row r="204" spans="1:28" x14ac:dyDescent="0.2">
      <c r="A204" s="154" t="s">
        <v>226</v>
      </c>
      <c r="B204" s="342">
        <v>2398</v>
      </c>
      <c r="C204" s="342">
        <v>2380</v>
      </c>
      <c r="D204" s="342">
        <v>2359</v>
      </c>
      <c r="E204" s="319">
        <v>2345</v>
      </c>
      <c r="F204" s="324">
        <v>2303.5045317220543</v>
      </c>
      <c r="G204" s="325">
        <v>2265.0453172205434</v>
      </c>
      <c r="H204" s="325">
        <v>2225.5740181268879</v>
      </c>
      <c r="I204" s="325">
        <v>2188.1268882175223</v>
      </c>
      <c r="J204" s="325">
        <v>2152.7039274924468</v>
      </c>
      <c r="K204" s="325">
        <v>2118.2930513595165</v>
      </c>
      <c r="L204" s="324">
        <v>2085.906344410876</v>
      </c>
      <c r="M204" s="324">
        <v>2053.5196374622356</v>
      </c>
      <c r="N204" s="324">
        <v>2025.1812688821753</v>
      </c>
      <c r="O204" s="324">
        <v>1996.8429003021149</v>
      </c>
      <c r="P204" s="260">
        <v>620</v>
      </c>
      <c r="Q204" s="260" t="s">
        <v>226</v>
      </c>
      <c r="Z204" s="430"/>
    </row>
    <row r="205" spans="1:28" x14ac:dyDescent="0.2">
      <c r="A205" s="154" t="s">
        <v>14</v>
      </c>
      <c r="B205" s="342">
        <v>2123</v>
      </c>
      <c r="C205" s="342">
        <v>2107</v>
      </c>
      <c r="D205" s="342">
        <v>2108</v>
      </c>
      <c r="E205" s="319">
        <v>2101</v>
      </c>
      <c r="F205" s="324">
        <v>2087.9627684964203</v>
      </c>
      <c r="G205" s="325">
        <v>2080.9427207637232</v>
      </c>
      <c r="H205" s="325">
        <v>2073.9226730310265</v>
      </c>
      <c r="I205" s="325">
        <v>2066.9026252983294</v>
      </c>
      <c r="J205" s="325">
        <v>2062.8911694510739</v>
      </c>
      <c r="K205" s="325">
        <v>2058.8797136038188</v>
      </c>
      <c r="L205" s="324">
        <v>2055.8711217183773</v>
      </c>
      <c r="M205" s="324">
        <v>2052.8625298329357</v>
      </c>
      <c r="N205" s="324">
        <v>2047.8482100238666</v>
      </c>
      <c r="O205" s="324">
        <v>2046.8453460620528</v>
      </c>
      <c r="P205" s="260">
        <v>623</v>
      </c>
      <c r="Q205" s="260" t="s">
        <v>14</v>
      </c>
      <c r="Z205" s="430"/>
    </row>
    <row r="206" spans="1:28" x14ac:dyDescent="0.2">
      <c r="A206" s="154" t="s">
        <v>227</v>
      </c>
      <c r="B206" s="342">
        <v>5092</v>
      </c>
      <c r="C206" s="342">
        <v>5117</v>
      </c>
      <c r="D206" s="342">
        <v>5065</v>
      </c>
      <c r="E206" s="319">
        <v>5001</v>
      </c>
      <c r="F206" s="324">
        <v>4991.1224570412796</v>
      </c>
      <c r="G206" s="325">
        <v>4978.2816511949441</v>
      </c>
      <c r="H206" s="325">
        <v>4962.4775824609915</v>
      </c>
      <c r="I206" s="325">
        <v>4943.7102508394237</v>
      </c>
      <c r="J206" s="325">
        <v>4919.0163934426228</v>
      </c>
      <c r="K206" s="325">
        <v>4895.3102903416939</v>
      </c>
      <c r="L206" s="324">
        <v>4871.604187240765</v>
      </c>
      <c r="M206" s="324">
        <v>4847.898084139837</v>
      </c>
      <c r="N206" s="324">
        <v>4826.1674896306522</v>
      </c>
      <c r="O206" s="324">
        <v>4805.4246494173403</v>
      </c>
      <c r="P206" s="260">
        <v>624</v>
      </c>
      <c r="Q206" s="260" t="s">
        <v>227</v>
      </c>
      <c r="Z206" s="430"/>
    </row>
    <row r="207" spans="1:28" x14ac:dyDescent="0.2">
      <c r="A207" s="154" t="s">
        <v>228</v>
      </c>
      <c r="B207" s="342">
        <v>3033</v>
      </c>
      <c r="C207" s="342">
        <v>2991</v>
      </c>
      <c r="D207" s="342">
        <v>2980</v>
      </c>
      <c r="E207" s="319">
        <v>2976</v>
      </c>
      <c r="F207" s="324">
        <v>2946.7344862665309</v>
      </c>
      <c r="G207" s="325">
        <v>2916.4598168870803</v>
      </c>
      <c r="H207" s="325">
        <v>2887.1943031536111</v>
      </c>
      <c r="I207" s="325">
        <v>2859.9471007121056</v>
      </c>
      <c r="J207" s="325">
        <v>2833.709053916582</v>
      </c>
      <c r="K207" s="325">
        <v>2810.498474059003</v>
      </c>
      <c r="L207" s="324">
        <v>2788.297049847406</v>
      </c>
      <c r="M207" s="324">
        <v>2768.1139369277721</v>
      </c>
      <c r="N207" s="324">
        <v>2751.9674465920652</v>
      </c>
      <c r="O207" s="324">
        <v>2734.8118006103764</v>
      </c>
      <c r="P207" s="260">
        <v>625</v>
      </c>
      <c r="Q207" s="260" t="s">
        <v>228</v>
      </c>
      <c r="Z207" s="430"/>
    </row>
    <row r="208" spans="1:28" x14ac:dyDescent="0.2">
      <c r="A208" s="154" t="s">
        <v>229</v>
      </c>
      <c r="B208" s="342">
        <v>4962</v>
      </c>
      <c r="C208" s="342">
        <v>4835</v>
      </c>
      <c r="D208" s="342">
        <v>4756</v>
      </c>
      <c r="E208" s="319">
        <v>4702</v>
      </c>
      <c r="F208" s="324">
        <v>4613.3970021413279</v>
      </c>
      <c r="G208" s="325">
        <v>4531.8419700214135</v>
      </c>
      <c r="H208" s="325">
        <v>4448.2732334047114</v>
      </c>
      <c r="I208" s="325">
        <v>4367.7250535331905</v>
      </c>
      <c r="J208" s="325">
        <v>4290.1974304068517</v>
      </c>
      <c r="K208" s="325">
        <v>4214.6835117773016</v>
      </c>
      <c r="L208" s="324">
        <v>4144.2038543897215</v>
      </c>
      <c r="M208" s="324">
        <v>4076.7447537473231</v>
      </c>
      <c r="N208" s="324">
        <v>4014.3199143468946</v>
      </c>
      <c r="O208" s="324">
        <v>3956.9293361884365</v>
      </c>
      <c r="P208" s="260">
        <v>626</v>
      </c>
      <c r="Q208" s="260" t="s">
        <v>229</v>
      </c>
      <c r="Z208" s="430"/>
    </row>
    <row r="209" spans="1:26" x14ac:dyDescent="0.2">
      <c r="A209" s="154" t="s">
        <v>230</v>
      </c>
      <c r="B209" s="342">
        <v>1541</v>
      </c>
      <c r="C209" s="342">
        <v>1635</v>
      </c>
      <c r="D209" s="342">
        <v>1646</v>
      </c>
      <c r="E209" s="319">
        <v>1641</v>
      </c>
      <c r="F209" s="324">
        <v>1658.7298919567827</v>
      </c>
      <c r="G209" s="325">
        <v>1670.5498199279712</v>
      </c>
      <c r="H209" s="325">
        <v>1682.3697478991596</v>
      </c>
      <c r="I209" s="325">
        <v>1694.1896758703481</v>
      </c>
      <c r="J209" s="325">
        <v>1703.0546218487395</v>
      </c>
      <c r="K209" s="325">
        <v>1713.8895558223289</v>
      </c>
      <c r="L209" s="324">
        <v>1722.7545018007204</v>
      </c>
      <c r="M209" s="324">
        <v>1733.5894357743098</v>
      </c>
      <c r="N209" s="324">
        <v>1742.4543817527012</v>
      </c>
      <c r="O209" s="324">
        <v>1750.3343337334936</v>
      </c>
      <c r="P209" s="260">
        <v>630</v>
      </c>
      <c r="Q209" s="260" t="s">
        <v>230</v>
      </c>
      <c r="Z209" s="430"/>
    </row>
    <row r="210" spans="1:26" x14ac:dyDescent="0.2">
      <c r="A210" s="154" t="s">
        <v>231</v>
      </c>
      <c r="B210" s="342">
        <v>1950</v>
      </c>
      <c r="C210" s="342">
        <v>1963</v>
      </c>
      <c r="D210" s="342">
        <v>1930</v>
      </c>
      <c r="E210" s="319">
        <v>1919</v>
      </c>
      <c r="F210" s="324">
        <v>1903.9686684073106</v>
      </c>
      <c r="G210" s="325">
        <v>1889.9394255874672</v>
      </c>
      <c r="H210" s="325">
        <v>1876.9122715404696</v>
      </c>
      <c r="I210" s="325">
        <v>1862.8830287206265</v>
      </c>
      <c r="J210" s="325">
        <v>1848.8537859007831</v>
      </c>
      <c r="K210" s="325">
        <v>1835.8266318537858</v>
      </c>
      <c r="L210" s="324">
        <v>1821.7973890339424</v>
      </c>
      <c r="M210" s="324">
        <v>1809.7723237597911</v>
      </c>
      <c r="N210" s="324">
        <v>1799.7514360313317</v>
      </c>
      <c r="O210" s="324">
        <v>1790.732637075718</v>
      </c>
      <c r="P210" s="260">
        <v>631</v>
      </c>
      <c r="Q210" s="260" t="s">
        <v>231</v>
      </c>
      <c r="Z210" s="430"/>
    </row>
    <row r="211" spans="1:26" x14ac:dyDescent="0.2">
      <c r="A211" s="154" t="s">
        <v>232</v>
      </c>
      <c r="B211" s="342">
        <v>6319</v>
      </c>
      <c r="C211" s="342">
        <v>6347</v>
      </c>
      <c r="D211" s="342">
        <v>6337</v>
      </c>
      <c r="E211" s="319">
        <v>6238</v>
      </c>
      <c r="F211" s="324">
        <v>6203.3169181890389</v>
      </c>
      <c r="G211" s="325">
        <v>6171.6066719618748</v>
      </c>
      <c r="H211" s="325">
        <v>6147.823987291501</v>
      </c>
      <c r="I211" s="325">
        <v>6124.0413026211281</v>
      </c>
      <c r="J211" s="325">
        <v>6105.2133439237496</v>
      </c>
      <c r="K211" s="325">
        <v>6092.331056393964</v>
      </c>
      <c r="L211" s="324">
        <v>6079.4487688641784</v>
      </c>
      <c r="M211" s="324">
        <v>6070.5302621127885</v>
      </c>
      <c r="N211" s="324">
        <v>6063.5936457505959</v>
      </c>
      <c r="O211" s="324">
        <v>6058.6389197776016</v>
      </c>
      <c r="P211" s="260">
        <v>635</v>
      </c>
      <c r="Q211" s="260" t="s">
        <v>232</v>
      </c>
      <c r="Z211" s="430"/>
    </row>
    <row r="212" spans="1:26" x14ac:dyDescent="0.2">
      <c r="A212" s="154" t="s">
        <v>233</v>
      </c>
      <c r="B212" s="342">
        <v>8155</v>
      </c>
      <c r="C212" s="342">
        <v>8154</v>
      </c>
      <c r="D212" s="342">
        <v>8130</v>
      </c>
      <c r="E212" s="319">
        <v>8011</v>
      </c>
      <c r="F212" s="324">
        <v>7969.3998516320471</v>
      </c>
      <c r="G212" s="325">
        <v>7928.7901829871407</v>
      </c>
      <c r="H212" s="325">
        <v>7891.1519535113739</v>
      </c>
      <c r="I212" s="325">
        <v>7853.5137240356071</v>
      </c>
      <c r="J212" s="325">
        <v>7820.8278931750729</v>
      </c>
      <c r="K212" s="325">
        <v>7792.1039812067247</v>
      </c>
      <c r="L212" s="324">
        <v>7766.3515084075161</v>
      </c>
      <c r="M212" s="324">
        <v>7743.5704747774471</v>
      </c>
      <c r="N212" s="324">
        <v>7723.7608803165176</v>
      </c>
      <c r="O212" s="324">
        <v>7710.8846439169129</v>
      </c>
      <c r="P212" s="260">
        <v>636</v>
      </c>
      <c r="Q212" s="260" t="s">
        <v>233</v>
      </c>
      <c r="Z212" s="430"/>
    </row>
    <row r="213" spans="1:26" x14ac:dyDescent="0.2">
      <c r="A213" s="154" t="s">
        <v>234</v>
      </c>
      <c r="B213" s="342">
        <v>24288</v>
      </c>
      <c r="C213" s="342">
        <v>24073</v>
      </c>
      <c r="D213" s="342">
        <v>23797</v>
      </c>
      <c r="E213" s="319">
        <v>23571</v>
      </c>
      <c r="F213" s="324">
        <v>23358.162533384206</v>
      </c>
      <c r="G213" s="325">
        <v>23139.329645173599</v>
      </c>
      <c r="H213" s="325">
        <v>22920.496756962992</v>
      </c>
      <c r="I213" s="325">
        <v>22706.660053414726</v>
      </c>
      <c r="J213" s="325">
        <v>22496.820297596336</v>
      </c>
      <c r="K213" s="325">
        <v>22289.978252575351</v>
      </c>
      <c r="L213" s="324">
        <v>22088.13239221671</v>
      </c>
      <c r="M213" s="324">
        <v>21892.281953452879</v>
      </c>
      <c r="N213" s="324">
        <v>21705.424647081265</v>
      </c>
      <c r="O213" s="324">
        <v>21526.5612361694</v>
      </c>
      <c r="P213" s="260">
        <v>678</v>
      </c>
      <c r="Q213" s="260" t="s">
        <v>234</v>
      </c>
      <c r="Z213" s="430"/>
    </row>
    <row r="214" spans="1:26" x14ac:dyDescent="0.2">
      <c r="A214" s="154" t="s">
        <v>351</v>
      </c>
      <c r="B214" s="342">
        <v>26878</v>
      </c>
      <c r="C214" s="342">
        <v>27306</v>
      </c>
      <c r="D214" s="342">
        <v>27209</v>
      </c>
      <c r="E214" s="319">
        <v>27036</v>
      </c>
      <c r="F214" s="324">
        <v>26934.319678477932</v>
      </c>
      <c r="G214" s="325">
        <v>26817.686368496736</v>
      </c>
      <c r="H214" s="325">
        <v>26720.990376461046</v>
      </c>
      <c r="I214" s="325">
        <v>26636.256775192654</v>
      </c>
      <c r="J214" s="325">
        <v>26559.498101102465</v>
      </c>
      <c r="K214" s="325">
        <v>26497.692415471403</v>
      </c>
      <c r="L214" s="324">
        <v>26445.855388813092</v>
      </c>
      <c r="M214" s="324">
        <v>26408.971350613912</v>
      </c>
      <c r="N214" s="324">
        <v>26382.055971387483</v>
      </c>
      <c r="O214" s="324">
        <v>26362.118653441979</v>
      </c>
      <c r="P214" s="260">
        <v>710</v>
      </c>
      <c r="Q214" s="260" t="s">
        <v>351</v>
      </c>
      <c r="Z214" s="430"/>
    </row>
    <row r="215" spans="1:26" x14ac:dyDescent="0.2">
      <c r="A215" s="154" t="s">
        <v>235</v>
      </c>
      <c r="B215" s="342">
        <v>23796</v>
      </c>
      <c r="C215" s="342">
        <v>24942</v>
      </c>
      <c r="D215" s="342">
        <v>25331</v>
      </c>
      <c r="E215" s="319">
        <v>25738</v>
      </c>
      <c r="F215" s="324">
        <v>26023.910898035545</v>
      </c>
      <c r="G215" s="325">
        <v>26277.719519800437</v>
      </c>
      <c r="H215" s="325">
        <v>26517.483395696912</v>
      </c>
      <c r="I215" s="325">
        <v>26754.237683193016</v>
      </c>
      <c r="J215" s="325">
        <v>26983.969597754913</v>
      </c>
      <c r="K215" s="325">
        <v>27208.68553164952</v>
      </c>
      <c r="L215" s="324">
        <v>27427.382288743378</v>
      </c>
      <c r="M215" s="324">
        <v>27641.063065169943</v>
      </c>
      <c r="N215" s="324">
        <v>27847.721468662301</v>
      </c>
      <c r="O215" s="324">
        <v>28047.357499220452</v>
      </c>
      <c r="P215" s="260">
        <v>680</v>
      </c>
      <c r="Q215" s="260" t="s">
        <v>235</v>
      </c>
      <c r="Z215" s="430"/>
    </row>
    <row r="216" spans="1:26" x14ac:dyDescent="0.2">
      <c r="A216" s="154" t="s">
        <v>236</v>
      </c>
      <c r="B216" s="342">
        <v>3324</v>
      </c>
      <c r="C216" s="342">
        <v>3308</v>
      </c>
      <c r="D216" s="342">
        <v>3297</v>
      </c>
      <c r="E216" s="319">
        <v>3246</v>
      </c>
      <c r="F216" s="324">
        <v>3209.1475912856704</v>
      </c>
      <c r="G216" s="325">
        <v>3173.2911936176743</v>
      </c>
      <c r="H216" s="325">
        <v>3137.4347959496781</v>
      </c>
      <c r="I216" s="325">
        <v>3104.5664314206815</v>
      </c>
      <c r="J216" s="325">
        <v>3070.7020558453519</v>
      </c>
      <c r="K216" s="325">
        <v>3036.8376802700222</v>
      </c>
      <c r="L216" s="324">
        <v>3002.9733046946922</v>
      </c>
      <c r="M216" s="324">
        <v>2971.100951212029</v>
      </c>
      <c r="N216" s="324">
        <v>2939.2285977293654</v>
      </c>
      <c r="O216" s="324">
        <v>2910.3442773857018</v>
      </c>
      <c r="P216" s="260">
        <v>681</v>
      </c>
      <c r="Q216" s="260" t="s">
        <v>236</v>
      </c>
      <c r="Z216" s="430"/>
    </row>
    <row r="217" spans="1:26" x14ac:dyDescent="0.2">
      <c r="A217" s="154" t="s">
        <v>237</v>
      </c>
      <c r="B217" s="342">
        <v>3724</v>
      </c>
      <c r="C217" s="342">
        <v>3618</v>
      </c>
      <c r="D217" s="342">
        <v>3599</v>
      </c>
      <c r="E217" s="319">
        <v>3570</v>
      </c>
      <c r="F217" s="324">
        <v>3523.8059071729958</v>
      </c>
      <c r="G217" s="325">
        <v>3476.6075949367087</v>
      </c>
      <c r="H217" s="325">
        <v>3429.409282700422</v>
      </c>
      <c r="I217" s="325">
        <v>3380.2025316455697</v>
      </c>
      <c r="J217" s="325">
        <v>3333.0042194092825</v>
      </c>
      <c r="K217" s="325">
        <v>3287.8143459915609</v>
      </c>
      <c r="L217" s="324">
        <v>3244.6329113924048</v>
      </c>
      <c r="M217" s="324">
        <v>3204.4641350210968</v>
      </c>
      <c r="N217" s="324">
        <v>3165.2995780590713</v>
      </c>
      <c r="O217" s="324">
        <v>3132.160337552742</v>
      </c>
      <c r="P217" s="260">
        <v>683</v>
      </c>
      <c r="Q217" s="260" t="s">
        <v>237</v>
      </c>
      <c r="Z217" s="430"/>
    </row>
    <row r="218" spans="1:26" x14ac:dyDescent="0.2">
      <c r="A218" s="154" t="s">
        <v>238</v>
      </c>
      <c r="B218" s="342">
        <v>38953</v>
      </c>
      <c r="C218" s="342">
        <v>38667</v>
      </c>
      <c r="D218" s="342">
        <v>38832</v>
      </c>
      <c r="E218" s="319">
        <v>38968</v>
      </c>
      <c r="F218" s="324">
        <v>38883.638462926217</v>
      </c>
      <c r="G218" s="325">
        <v>38766.134893430586</v>
      </c>
      <c r="H218" s="325">
        <v>38665.704492152268</v>
      </c>
      <c r="I218" s="325">
        <v>38580.3386510657</v>
      </c>
      <c r="J218" s="325">
        <v>38502.00293806861</v>
      </c>
      <c r="K218" s="325">
        <v>38420.65431303317</v>
      </c>
      <c r="L218" s="324">
        <v>38348.34442411278</v>
      </c>
      <c r="M218" s="324">
        <v>38283.064663281868</v>
      </c>
      <c r="N218" s="324">
        <v>38220.797814489313</v>
      </c>
      <c r="O218" s="324">
        <v>38159.535269709537</v>
      </c>
      <c r="P218" s="260">
        <v>684</v>
      </c>
      <c r="Q218" s="260" t="s">
        <v>238</v>
      </c>
      <c r="Z218" s="430"/>
    </row>
    <row r="219" spans="1:26" x14ac:dyDescent="0.2">
      <c r="A219" s="154" t="s">
        <v>239</v>
      </c>
      <c r="B219" s="342">
        <v>3074</v>
      </c>
      <c r="C219" s="342">
        <v>2964</v>
      </c>
      <c r="D219" s="342">
        <v>2933</v>
      </c>
      <c r="E219" s="319">
        <v>2935</v>
      </c>
      <c r="F219" s="324">
        <v>2883.0801248699272</v>
      </c>
      <c r="G219" s="325">
        <v>2834.2143600416234</v>
      </c>
      <c r="H219" s="325">
        <v>2788.4027055150887</v>
      </c>
      <c r="I219" s="325">
        <v>2744.6271245230664</v>
      </c>
      <c r="J219" s="325">
        <v>2704.9236906000692</v>
      </c>
      <c r="K219" s="325">
        <v>2668.2743669788415</v>
      </c>
      <c r="L219" s="324">
        <v>2631.6250433576138</v>
      </c>
      <c r="M219" s="324">
        <v>2599.0478668054111</v>
      </c>
      <c r="N219" s="324">
        <v>2568.5067637877214</v>
      </c>
      <c r="O219" s="324">
        <v>2536.9476240027752</v>
      </c>
      <c r="P219" s="260">
        <v>686</v>
      </c>
      <c r="Q219" s="260" t="s">
        <v>239</v>
      </c>
      <c r="Z219" s="430"/>
    </row>
    <row r="220" spans="1:26" x14ac:dyDescent="0.2">
      <c r="A220" s="154" t="s">
        <v>240</v>
      </c>
      <c r="B220" s="342">
        <v>1577</v>
      </c>
      <c r="C220" s="342">
        <v>1477</v>
      </c>
      <c r="D220" s="342">
        <v>1424</v>
      </c>
      <c r="E220" s="319">
        <v>1413</v>
      </c>
      <c r="F220" s="324">
        <v>1377.240780911063</v>
      </c>
      <c r="G220" s="325">
        <v>1342.5032537960956</v>
      </c>
      <c r="H220" s="325">
        <v>1310.830802603037</v>
      </c>
      <c r="I220" s="325">
        <v>1279.1583514099784</v>
      </c>
      <c r="J220" s="325">
        <v>1250.5509761388289</v>
      </c>
      <c r="K220" s="325">
        <v>1221.9436008676792</v>
      </c>
      <c r="L220" s="324">
        <v>1197.4229934924081</v>
      </c>
      <c r="M220" s="324">
        <v>1173.9240780911066</v>
      </c>
      <c r="N220" s="324">
        <v>1154.5119305856836</v>
      </c>
      <c r="O220" s="324">
        <v>1135.0997830802605</v>
      </c>
      <c r="P220" s="260">
        <v>687</v>
      </c>
      <c r="Q220" s="260" t="s">
        <v>240</v>
      </c>
      <c r="Z220" s="430"/>
    </row>
    <row r="221" spans="1:26" x14ac:dyDescent="0.2">
      <c r="A221" s="154" t="s">
        <v>241</v>
      </c>
      <c r="B221" s="342">
        <v>3134</v>
      </c>
      <c r="C221" s="342">
        <v>3093</v>
      </c>
      <c r="D221" s="342">
        <v>3032</v>
      </c>
      <c r="E221" s="319">
        <v>3008</v>
      </c>
      <c r="F221" s="324">
        <v>2964.7556001337343</v>
      </c>
      <c r="G221" s="325">
        <v>2925.5339351387493</v>
      </c>
      <c r="H221" s="325">
        <v>2888.3236375794045</v>
      </c>
      <c r="I221" s="325">
        <v>2854.1303911735199</v>
      </c>
      <c r="J221" s="325">
        <v>2822.954195921096</v>
      </c>
      <c r="K221" s="325">
        <v>2790.7723169508522</v>
      </c>
      <c r="L221" s="324">
        <v>2758.5904379806079</v>
      </c>
      <c r="M221" s="324">
        <v>2729.4256101638243</v>
      </c>
      <c r="N221" s="324">
        <v>2703.2778335005009</v>
      </c>
      <c r="O221" s="324">
        <v>2677.1300568371776</v>
      </c>
      <c r="P221" s="260">
        <v>689</v>
      </c>
      <c r="Q221" s="260" t="s">
        <v>241</v>
      </c>
      <c r="Z221" s="430"/>
    </row>
    <row r="222" spans="1:26" x14ac:dyDescent="0.2">
      <c r="A222" s="154" t="s">
        <v>242</v>
      </c>
      <c r="B222" s="342">
        <v>2620</v>
      </c>
      <c r="C222" s="342">
        <v>2636</v>
      </c>
      <c r="D222" s="342">
        <v>2598</v>
      </c>
      <c r="E222" s="319">
        <v>2556</v>
      </c>
      <c r="F222" s="324">
        <v>2530.1315687037759</v>
      </c>
      <c r="G222" s="325">
        <v>2503.2681977423122</v>
      </c>
      <c r="H222" s="325">
        <v>2478.3947061113272</v>
      </c>
      <c r="I222" s="325">
        <v>2454.5161541455818</v>
      </c>
      <c r="J222" s="325">
        <v>2430.6376021798364</v>
      </c>
      <c r="K222" s="325">
        <v>2409.7438692098094</v>
      </c>
      <c r="L222" s="324">
        <v>2390.8400155702611</v>
      </c>
      <c r="M222" s="324">
        <v>2372.931101595952</v>
      </c>
      <c r="N222" s="324">
        <v>2353.0323082911641</v>
      </c>
      <c r="O222" s="324">
        <v>2335.123394316855</v>
      </c>
      <c r="P222" s="260">
        <v>691</v>
      </c>
      <c r="Q222" s="260" t="s">
        <v>242</v>
      </c>
      <c r="Z222" s="430"/>
    </row>
    <row r="223" spans="1:26" x14ac:dyDescent="0.2">
      <c r="A223" s="154" t="s">
        <v>243</v>
      </c>
      <c r="B223" s="342">
        <v>28246</v>
      </c>
      <c r="C223" s="342">
        <v>28349</v>
      </c>
      <c r="D223" s="342">
        <v>28483</v>
      </c>
      <c r="E223" s="319">
        <v>28643</v>
      </c>
      <c r="F223" s="324">
        <v>28630.933438651922</v>
      </c>
      <c r="G223" s="325">
        <v>28600.767035281726</v>
      </c>
      <c r="H223" s="325">
        <v>28577.639459364578</v>
      </c>
      <c r="I223" s="325">
        <v>28556.522977005443</v>
      </c>
      <c r="J223" s="325">
        <v>28542.445322099353</v>
      </c>
      <c r="K223" s="325">
        <v>28533.395401088295</v>
      </c>
      <c r="L223" s="324">
        <v>28530.378760751275</v>
      </c>
      <c r="M223" s="324">
        <v>28536.412041425316</v>
      </c>
      <c r="N223" s="324">
        <v>28548.478602773397</v>
      </c>
      <c r="O223" s="324">
        <v>28564.5673512375</v>
      </c>
      <c r="P223" s="260">
        <v>694</v>
      </c>
      <c r="Q223" s="260" t="s">
        <v>243</v>
      </c>
      <c r="Z223" s="430"/>
    </row>
    <row r="224" spans="1:26" x14ac:dyDescent="0.2">
      <c r="A224" s="154" t="s">
        <v>244</v>
      </c>
      <c r="B224" s="342">
        <v>1214</v>
      </c>
      <c r="C224" s="342">
        <v>1174</v>
      </c>
      <c r="D224" s="342">
        <v>1164</v>
      </c>
      <c r="E224" s="319">
        <v>1163</v>
      </c>
      <c r="F224" s="324">
        <v>1144.7329842931938</v>
      </c>
      <c r="G224" s="325">
        <v>1128.4956369982549</v>
      </c>
      <c r="H224" s="325">
        <v>1110.2286212914487</v>
      </c>
      <c r="I224" s="325">
        <v>1096.0209424083771</v>
      </c>
      <c r="J224" s="325">
        <v>1079.7835951134382</v>
      </c>
      <c r="K224" s="325">
        <v>1066.5907504363004</v>
      </c>
      <c r="L224" s="324">
        <v>1055.4275741710298</v>
      </c>
      <c r="M224" s="324">
        <v>1043.2495636998258</v>
      </c>
      <c r="N224" s="324">
        <v>1030.056719022688</v>
      </c>
      <c r="O224" s="324">
        <v>1019.9083769633511</v>
      </c>
      <c r="P224" s="260">
        <v>697</v>
      </c>
      <c r="Q224" s="260" t="s">
        <v>244</v>
      </c>
      <c r="Z224" s="430"/>
    </row>
    <row r="225" spans="1:26" x14ac:dyDescent="0.2">
      <c r="A225" s="154" t="s">
        <v>245</v>
      </c>
      <c r="B225" s="342">
        <v>63685</v>
      </c>
      <c r="C225" s="342">
        <v>64535</v>
      </c>
      <c r="D225" s="342">
        <v>65286</v>
      </c>
      <c r="E225" s="319">
        <v>65722</v>
      </c>
      <c r="F225" s="324">
        <v>66253.673284157485</v>
      </c>
      <c r="G225" s="325">
        <v>66730.483471450687</v>
      </c>
      <c r="H225" s="325">
        <v>67189.338463406486</v>
      </c>
      <c r="I225" s="325">
        <v>67626.248216616572</v>
      </c>
      <c r="J225" s="325">
        <v>68046.200285341343</v>
      </c>
      <c r="K225" s="325">
        <v>68445.204626172475</v>
      </c>
      <c r="L225" s="324">
        <v>68823.261239109968</v>
      </c>
      <c r="M225" s="324">
        <v>69183.362656710073</v>
      </c>
      <c r="N225" s="324">
        <v>69524.511368120686</v>
      </c>
      <c r="O225" s="324">
        <v>69846.707373341822</v>
      </c>
      <c r="P225" s="260">
        <v>698</v>
      </c>
      <c r="Q225" s="260" t="s">
        <v>245</v>
      </c>
      <c r="Z225" s="430"/>
    </row>
    <row r="226" spans="1:26" x14ac:dyDescent="0.2">
      <c r="A226" s="154" t="s">
        <v>246</v>
      </c>
      <c r="B226" s="342">
        <v>4897</v>
      </c>
      <c r="C226" s="342">
        <v>4842</v>
      </c>
      <c r="D226" s="342">
        <v>4758</v>
      </c>
      <c r="E226" s="319">
        <v>4733</v>
      </c>
      <c r="F226" s="324">
        <v>4676.6667375132838</v>
      </c>
      <c r="G226" s="325">
        <v>4623.3513283740704</v>
      </c>
      <c r="H226" s="325">
        <v>4566.0121147715199</v>
      </c>
      <c r="I226" s="325">
        <v>4511.6907545164722</v>
      </c>
      <c r="J226" s="325">
        <v>4457.3693942614245</v>
      </c>
      <c r="K226" s="325">
        <v>4407.0718384697129</v>
      </c>
      <c r="L226" s="324">
        <v>4359.7921360255041</v>
      </c>
      <c r="M226" s="324">
        <v>4318.5481402763007</v>
      </c>
      <c r="N226" s="324">
        <v>4278.3100956429316</v>
      </c>
      <c r="O226" s="324">
        <v>4241.0899043570653</v>
      </c>
      <c r="P226" s="260">
        <v>700</v>
      </c>
      <c r="Q226" s="260" t="s">
        <v>246</v>
      </c>
      <c r="Z226" s="430"/>
    </row>
    <row r="227" spans="1:26" x14ac:dyDescent="0.2">
      <c r="A227" s="154" t="s">
        <v>247</v>
      </c>
      <c r="B227" s="342">
        <v>4165</v>
      </c>
      <c r="C227" s="342">
        <v>4114</v>
      </c>
      <c r="D227" s="342">
        <v>4124</v>
      </c>
      <c r="E227" s="319">
        <v>4039</v>
      </c>
      <c r="F227" s="324">
        <v>3993.4510909536652</v>
      </c>
      <c r="G227" s="325">
        <v>3946.9119882324103</v>
      </c>
      <c r="H227" s="325">
        <v>3904.3336602108361</v>
      </c>
      <c r="I227" s="325">
        <v>3867.696494238784</v>
      </c>
      <c r="J227" s="325">
        <v>3832.0495219416525</v>
      </c>
      <c r="K227" s="325">
        <v>3801.3535180191225</v>
      </c>
      <c r="L227" s="324">
        <v>3772.6379014464328</v>
      </c>
      <c r="M227" s="324">
        <v>3748.873253248345</v>
      </c>
      <c r="N227" s="324">
        <v>3727.088992400098</v>
      </c>
      <c r="O227" s="324">
        <v>3706.2949252267713</v>
      </c>
      <c r="P227" s="260">
        <v>702</v>
      </c>
      <c r="Q227" s="260" t="s">
        <v>247</v>
      </c>
      <c r="Z227" s="430"/>
    </row>
    <row r="228" spans="1:26" x14ac:dyDescent="0.2">
      <c r="A228" s="154" t="s">
        <v>248</v>
      </c>
      <c r="B228" s="342">
        <v>6367</v>
      </c>
      <c r="C228" s="342">
        <v>6428</v>
      </c>
      <c r="D228" s="342">
        <v>6436</v>
      </c>
      <c r="E228" s="319">
        <v>6418</v>
      </c>
      <c r="F228" s="324">
        <v>6450.7196045110468</v>
      </c>
      <c r="G228" s="325">
        <v>6483.4392090220917</v>
      </c>
      <c r="H228" s="325">
        <v>6513.1843040321337</v>
      </c>
      <c r="I228" s="325">
        <v>6543.9209022091773</v>
      </c>
      <c r="J228" s="325">
        <v>6573.6659972192192</v>
      </c>
      <c r="K228" s="325">
        <v>6600.4365827282563</v>
      </c>
      <c r="L228" s="324">
        <v>6622.2496524022872</v>
      </c>
      <c r="M228" s="324">
        <v>6644.0627220763181</v>
      </c>
      <c r="N228" s="324">
        <v>6663.8927854163467</v>
      </c>
      <c r="O228" s="324">
        <v>6685.7058550903766</v>
      </c>
      <c r="P228" s="260">
        <v>704</v>
      </c>
      <c r="Q228" s="260" t="s">
        <v>248</v>
      </c>
      <c r="Z228" s="430"/>
    </row>
    <row r="229" spans="1:26" x14ac:dyDescent="0.2">
      <c r="A229" s="154" t="s">
        <v>249</v>
      </c>
      <c r="B229" s="342">
        <v>2039</v>
      </c>
      <c r="C229" s="342">
        <v>1960</v>
      </c>
      <c r="D229" s="342">
        <v>1902</v>
      </c>
      <c r="E229" s="319">
        <v>1881</v>
      </c>
      <c r="F229" s="324">
        <v>1829.0048780487805</v>
      </c>
      <c r="G229" s="325">
        <v>1780.0682926829268</v>
      </c>
      <c r="H229" s="325">
        <v>1733.1707317073169</v>
      </c>
      <c r="I229" s="325">
        <v>1690.351219512195</v>
      </c>
      <c r="J229" s="325">
        <v>1649.570731707317</v>
      </c>
      <c r="K229" s="325">
        <v>1611.8487804878048</v>
      </c>
      <c r="L229" s="324">
        <v>1574.1268292682926</v>
      </c>
      <c r="M229" s="324">
        <v>1540.4829268292683</v>
      </c>
      <c r="N229" s="324">
        <v>1507.8585365853658</v>
      </c>
      <c r="O229" s="324">
        <v>1480.3317073170731</v>
      </c>
      <c r="P229" s="260">
        <v>707</v>
      </c>
      <c r="Q229" s="260" t="s">
        <v>249</v>
      </c>
      <c r="Z229" s="430"/>
    </row>
    <row r="230" spans="1:26" x14ac:dyDescent="0.2">
      <c r="A230" s="154" t="s">
        <v>250</v>
      </c>
      <c r="B230" s="342">
        <v>8952</v>
      </c>
      <c r="C230" s="342">
        <v>8975</v>
      </c>
      <c r="D230" s="342">
        <v>8847</v>
      </c>
      <c r="E230" s="319">
        <v>8858</v>
      </c>
      <c r="F230" s="324">
        <v>8745.4240897641394</v>
      </c>
      <c r="G230" s="325">
        <v>8637.9191664758418</v>
      </c>
      <c r="H230" s="325">
        <v>8534.4710327455923</v>
      </c>
      <c r="I230" s="325">
        <v>8438.122280741929</v>
      </c>
      <c r="J230" s="325">
        <v>8348.8729104648519</v>
      </c>
      <c r="K230" s="325">
        <v>8262.6661323563112</v>
      </c>
      <c r="L230" s="324">
        <v>8179.501946416307</v>
      </c>
      <c r="M230" s="324">
        <v>8102.4229448133756</v>
      </c>
      <c r="N230" s="324">
        <v>8028.3865353789815</v>
      </c>
      <c r="O230" s="324">
        <v>7954.3501259445875</v>
      </c>
      <c r="P230" s="260">
        <v>729</v>
      </c>
      <c r="Q230" s="260" t="s">
        <v>250</v>
      </c>
      <c r="Z230" s="430"/>
    </row>
    <row r="231" spans="1:26" x14ac:dyDescent="0.2">
      <c r="A231" s="154" t="s">
        <v>251</v>
      </c>
      <c r="B231" s="342">
        <v>3260</v>
      </c>
      <c r="C231" s="342">
        <v>3336</v>
      </c>
      <c r="D231" s="342">
        <v>3344</v>
      </c>
      <c r="E231" s="319">
        <v>3285</v>
      </c>
      <c r="F231" s="324">
        <v>3255.2983725135623</v>
      </c>
      <c r="G231" s="325">
        <v>3225.5967450271246</v>
      </c>
      <c r="H231" s="325">
        <v>3197.8752260397828</v>
      </c>
      <c r="I231" s="325">
        <v>3173.1238698010848</v>
      </c>
      <c r="J231" s="325">
        <v>3151.3426763110306</v>
      </c>
      <c r="K231" s="325">
        <v>3131.5415913200723</v>
      </c>
      <c r="L231" s="324">
        <v>3113.7206148282094</v>
      </c>
      <c r="M231" s="324">
        <v>3095.8996383363469</v>
      </c>
      <c r="N231" s="324">
        <v>3081.0488245931283</v>
      </c>
      <c r="O231" s="324">
        <v>3066.1980108499097</v>
      </c>
      <c r="P231" s="260">
        <v>732</v>
      </c>
      <c r="Q231" s="260" t="s">
        <v>251</v>
      </c>
      <c r="Z231" s="430"/>
    </row>
    <row r="232" spans="1:26" x14ac:dyDescent="0.2">
      <c r="A232" s="154" t="s">
        <v>252</v>
      </c>
      <c r="B232" s="342">
        <v>50816</v>
      </c>
      <c r="C232" s="342">
        <v>50933</v>
      </c>
      <c r="D232" s="342">
        <v>51100</v>
      </c>
      <c r="E232" s="319">
        <v>50870</v>
      </c>
      <c r="F232" s="324">
        <v>50580.709970680262</v>
      </c>
      <c r="G232" s="325">
        <v>50282.410909305581</v>
      </c>
      <c r="H232" s="325">
        <v>50012.139947657379</v>
      </c>
      <c r="I232" s="325">
        <v>49763.891064365693</v>
      </c>
      <c r="J232" s="325">
        <v>49529.656230937253</v>
      </c>
      <c r="K232" s="325">
        <v>49319.445482988653</v>
      </c>
      <c r="L232" s="324">
        <v>49134.25982408155</v>
      </c>
      <c r="M232" s="324">
        <v>48971.096243530963</v>
      </c>
      <c r="N232" s="324">
        <v>48830.955744898558</v>
      </c>
      <c r="O232" s="324">
        <v>48714.839331745992</v>
      </c>
      <c r="P232" s="260">
        <v>734</v>
      </c>
      <c r="Q232" s="260" t="s">
        <v>252</v>
      </c>
      <c r="Z232" s="430"/>
    </row>
    <row r="233" spans="1:26" x14ac:dyDescent="0.2">
      <c r="A233" s="154" t="s">
        <v>353</v>
      </c>
      <c r="B233" s="342">
        <v>23977</v>
      </c>
      <c r="C233" s="342">
        <v>23734</v>
      </c>
      <c r="D233" s="342">
        <v>23515</v>
      </c>
      <c r="E233" s="319">
        <v>23464</v>
      </c>
      <c r="F233" s="324">
        <v>23237.250869733281</v>
      </c>
      <c r="G233" s="325">
        <v>23022.595026414121</v>
      </c>
      <c r="H233" s="325">
        <v>22824.063565691704</v>
      </c>
      <c r="I233" s="325">
        <v>22639.640939741439</v>
      </c>
      <c r="J233" s="325">
        <v>22474.366018124809</v>
      </c>
      <c r="K233" s="325">
        <v>22327.231026929516</v>
      </c>
      <c r="L233" s="324">
        <v>22188.158227032596</v>
      </c>
      <c r="M233" s="324">
        <v>22060.170940170938</v>
      </c>
      <c r="N233" s="324">
        <v>21945.284714169135</v>
      </c>
      <c r="O233" s="324">
        <v>21840.476227290295</v>
      </c>
      <c r="P233" s="260">
        <v>790</v>
      </c>
      <c r="Q233" s="260" t="s">
        <v>353</v>
      </c>
      <c r="Z233" s="430"/>
    </row>
    <row r="234" spans="1:26" x14ac:dyDescent="0.2">
      <c r="A234" s="154" t="s">
        <v>253</v>
      </c>
      <c r="B234" s="342">
        <v>2960</v>
      </c>
      <c r="C234" s="342">
        <v>2917</v>
      </c>
      <c r="D234" s="342">
        <v>2974</v>
      </c>
      <c r="E234" s="319">
        <v>2965</v>
      </c>
      <c r="F234" s="324">
        <v>2962.0010114632501</v>
      </c>
      <c r="G234" s="325">
        <v>2959.0020229265001</v>
      </c>
      <c r="H234" s="325">
        <v>2957.0026972353335</v>
      </c>
      <c r="I234" s="325">
        <v>2955.0033715441668</v>
      </c>
      <c r="J234" s="325">
        <v>2953.0040458530002</v>
      </c>
      <c r="K234" s="325">
        <v>2952.0043830074169</v>
      </c>
      <c r="L234" s="324">
        <v>2953.0040458530002</v>
      </c>
      <c r="M234" s="324">
        <v>2956.0030343897502</v>
      </c>
      <c r="N234" s="324">
        <v>2959.0020229265001</v>
      </c>
      <c r="O234" s="324">
        <v>2961.0013486176663</v>
      </c>
      <c r="P234" s="260">
        <v>738</v>
      </c>
      <c r="Q234" s="260" t="s">
        <v>253</v>
      </c>
      <c r="Z234" s="430"/>
    </row>
    <row r="235" spans="1:26" x14ac:dyDescent="0.2">
      <c r="A235" s="154" t="s">
        <v>254</v>
      </c>
      <c r="B235" s="342">
        <v>3258</v>
      </c>
      <c r="C235" s="342">
        <v>3256</v>
      </c>
      <c r="D235" s="342">
        <v>3216</v>
      </c>
      <c r="E235" s="319">
        <v>3188</v>
      </c>
      <c r="F235" s="324">
        <v>3151.9207796290475</v>
      </c>
      <c r="G235" s="325">
        <v>3116.8437598239548</v>
      </c>
      <c r="H235" s="325">
        <v>3080.7645394530023</v>
      </c>
      <c r="I235" s="325">
        <v>3047.6919207796291</v>
      </c>
      <c r="J235" s="325">
        <v>3015.6215026721156</v>
      </c>
      <c r="K235" s="325">
        <v>2983.5510845646022</v>
      </c>
      <c r="L235" s="324">
        <v>2953.4850675888088</v>
      </c>
      <c r="M235" s="324">
        <v>2923.4190506130153</v>
      </c>
      <c r="N235" s="324">
        <v>2897.3618359006609</v>
      </c>
      <c r="O235" s="324">
        <v>2873.3090223200261</v>
      </c>
      <c r="P235" s="260">
        <v>739</v>
      </c>
      <c r="Q235" s="260" t="s">
        <v>254</v>
      </c>
      <c r="Z235" s="430"/>
    </row>
    <row r="236" spans="1:26" x14ac:dyDescent="0.2">
      <c r="A236" s="154" t="s">
        <v>255</v>
      </c>
      <c r="B236" s="342">
        <v>32110</v>
      </c>
      <c r="C236" s="342">
        <v>32085</v>
      </c>
      <c r="D236" s="342">
        <v>31843</v>
      </c>
      <c r="E236" s="319">
        <v>31460</v>
      </c>
      <c r="F236" s="324">
        <v>31124.554455445545</v>
      </c>
      <c r="G236" s="325">
        <v>30786.11386138614</v>
      </c>
      <c r="H236" s="325">
        <v>30464.645214521453</v>
      </c>
      <c r="I236" s="325">
        <v>30155.156765676569</v>
      </c>
      <c r="J236" s="325">
        <v>29857.648514851484</v>
      </c>
      <c r="K236" s="325">
        <v>29572.120462046205</v>
      </c>
      <c r="L236" s="324">
        <v>29298.572607260725</v>
      </c>
      <c r="M236" s="324">
        <v>29036.006600660065</v>
      </c>
      <c r="N236" s="324">
        <v>28782.425742574258</v>
      </c>
      <c r="O236" s="324">
        <v>28536.831683168319</v>
      </c>
      <c r="P236" s="260">
        <v>740</v>
      </c>
      <c r="Q236" s="260" t="s">
        <v>255</v>
      </c>
      <c r="Z236" s="430"/>
    </row>
    <row r="237" spans="1:26" x14ac:dyDescent="0.2">
      <c r="A237" s="154" t="s">
        <v>256</v>
      </c>
      <c r="B237" s="342">
        <v>971</v>
      </c>
      <c r="C237" s="342">
        <v>988</v>
      </c>
      <c r="D237" s="342">
        <v>978</v>
      </c>
      <c r="E237" s="319">
        <v>964</v>
      </c>
      <c r="F237" s="324">
        <v>956.04127966976273</v>
      </c>
      <c r="G237" s="325">
        <v>948.08255933952535</v>
      </c>
      <c r="H237" s="325">
        <v>942.11351909184737</v>
      </c>
      <c r="I237" s="325">
        <v>937.13931888544903</v>
      </c>
      <c r="J237" s="325">
        <v>931.17027863777105</v>
      </c>
      <c r="K237" s="325">
        <v>926.19607843137271</v>
      </c>
      <c r="L237" s="324">
        <v>923.21155830753366</v>
      </c>
      <c r="M237" s="324">
        <v>917.24251805985557</v>
      </c>
      <c r="N237" s="324">
        <v>913.26315789473688</v>
      </c>
      <c r="O237" s="324">
        <v>910.27863777089783</v>
      </c>
      <c r="P237" s="260">
        <v>742</v>
      </c>
      <c r="Q237" s="260" t="s">
        <v>256</v>
      </c>
      <c r="Z237" s="430"/>
    </row>
    <row r="238" spans="1:26" x14ac:dyDescent="0.2">
      <c r="A238" s="154" t="s">
        <v>257</v>
      </c>
      <c r="B238" s="342">
        <v>64774</v>
      </c>
      <c r="C238" s="342">
        <v>65323</v>
      </c>
      <c r="D238" s="342">
        <v>66160</v>
      </c>
      <c r="E238" s="319">
        <v>66611</v>
      </c>
      <c r="F238" s="324">
        <v>67204.121202597948</v>
      </c>
      <c r="G238" s="325">
        <v>67747.400287330529</v>
      </c>
      <c r="H238" s="325">
        <v>68268.74884020233</v>
      </c>
      <c r="I238" s="325">
        <v>68759.195279997613</v>
      </c>
      <c r="J238" s="325">
        <v>69224.720660860214</v>
      </c>
      <c r="K238" s="325">
        <v>69661.337613360898</v>
      </c>
      <c r="L238" s="324">
        <v>70063.065083355817</v>
      </c>
      <c r="M238" s="324">
        <v>70438.874652060738</v>
      </c>
      <c r="N238" s="324">
        <v>70791.756846547578</v>
      </c>
      <c r="O238" s="324">
        <v>71120.71482445905</v>
      </c>
      <c r="P238" s="260">
        <v>743</v>
      </c>
      <c r="Q238" s="260" t="s">
        <v>257</v>
      </c>
      <c r="Z238" s="430"/>
    </row>
    <row r="239" spans="1:26" x14ac:dyDescent="0.2">
      <c r="A239" s="154" t="s">
        <v>258</v>
      </c>
      <c r="B239" s="342">
        <v>4798</v>
      </c>
      <c r="C239" s="342">
        <v>4735</v>
      </c>
      <c r="D239" s="342">
        <v>4713</v>
      </c>
      <c r="E239" s="319">
        <v>4603</v>
      </c>
      <c r="F239" s="324">
        <v>4552.6778135048235</v>
      </c>
      <c r="G239" s="325">
        <v>4502.3556270096469</v>
      </c>
      <c r="H239" s="325">
        <v>4452.0334405144704</v>
      </c>
      <c r="I239" s="325">
        <v>4406.6448017148996</v>
      </c>
      <c r="J239" s="325">
        <v>4367.1764201500546</v>
      </c>
      <c r="K239" s="325">
        <v>4330.6681672025734</v>
      </c>
      <c r="L239" s="324">
        <v>4301.0668810289399</v>
      </c>
      <c r="M239" s="324">
        <v>4271.4655948553063</v>
      </c>
      <c r="N239" s="324">
        <v>4246.7978563772785</v>
      </c>
      <c r="O239" s="324">
        <v>4226.0769560557355</v>
      </c>
      <c r="P239" s="260">
        <v>746</v>
      </c>
      <c r="Q239" s="260" t="s">
        <v>258</v>
      </c>
      <c r="Z239" s="430"/>
    </row>
    <row r="240" spans="1:26" x14ac:dyDescent="0.2">
      <c r="A240" s="154" t="s">
        <v>259</v>
      </c>
      <c r="B240" s="342">
        <v>1378</v>
      </c>
      <c r="C240" s="342">
        <v>1308</v>
      </c>
      <c r="D240" s="342">
        <v>1283</v>
      </c>
      <c r="E240" s="319">
        <v>1264</v>
      </c>
      <c r="F240" s="324">
        <v>1233.7124600638977</v>
      </c>
      <c r="G240" s="325">
        <v>1207.4632587859423</v>
      </c>
      <c r="H240" s="325">
        <v>1181.214057507987</v>
      </c>
      <c r="I240" s="325">
        <v>1155.9744408945685</v>
      </c>
      <c r="J240" s="325">
        <v>1132.7539936102235</v>
      </c>
      <c r="K240" s="325">
        <v>1111.552715654952</v>
      </c>
      <c r="L240" s="324">
        <v>1090.3514376996804</v>
      </c>
      <c r="M240" s="324">
        <v>1070.1597444089457</v>
      </c>
      <c r="N240" s="324">
        <v>1051.9872204472845</v>
      </c>
      <c r="O240" s="324">
        <v>1034.8242811501598</v>
      </c>
      <c r="P240" s="260">
        <v>747</v>
      </c>
      <c r="Q240" s="260" t="s">
        <v>259</v>
      </c>
      <c r="Z240" s="430"/>
    </row>
    <row r="241" spans="1:26" x14ac:dyDescent="0.2">
      <c r="A241" s="154" t="s">
        <v>260</v>
      </c>
      <c r="B241" s="342">
        <v>5057</v>
      </c>
      <c r="C241" s="342">
        <v>4897</v>
      </c>
      <c r="D241" s="342">
        <v>4837</v>
      </c>
      <c r="E241" s="319">
        <v>4804</v>
      </c>
      <c r="F241" s="324">
        <v>4723.1415947822425</v>
      </c>
      <c r="G241" s="325">
        <v>4649.3583000210392</v>
      </c>
      <c r="H241" s="325">
        <v>4579.6179255207235</v>
      </c>
      <c r="I241" s="325">
        <v>4514.9312013465178</v>
      </c>
      <c r="J241" s="325">
        <v>4457.3195876288655</v>
      </c>
      <c r="K241" s="325">
        <v>4402.7401641068791</v>
      </c>
      <c r="L241" s="324">
        <v>4356.2465811066686</v>
      </c>
      <c r="M241" s="324">
        <v>4312.785188302124</v>
      </c>
      <c r="N241" s="324">
        <v>4273.3667157584678</v>
      </c>
      <c r="O241" s="324">
        <v>4240.0126236061433</v>
      </c>
      <c r="P241" s="260">
        <v>748</v>
      </c>
      <c r="Q241" s="260" t="s">
        <v>260</v>
      </c>
      <c r="Z241" s="430"/>
    </row>
    <row r="242" spans="1:26" x14ac:dyDescent="0.2">
      <c r="A242" s="154" t="s">
        <v>352</v>
      </c>
      <c r="B242" s="342">
        <v>4963</v>
      </c>
      <c r="C242" s="342">
        <v>5029</v>
      </c>
      <c r="D242" s="342">
        <v>4931</v>
      </c>
      <c r="E242" s="319">
        <v>4938</v>
      </c>
      <c r="F242" s="324">
        <v>4872.0111019736842</v>
      </c>
      <c r="G242" s="325">
        <v>4806.0222039473683</v>
      </c>
      <c r="H242" s="325">
        <v>4741.0485197368416</v>
      </c>
      <c r="I242" s="325">
        <v>4680.1356907894733</v>
      </c>
      <c r="J242" s="325">
        <v>4621.2532894736833</v>
      </c>
      <c r="K242" s="325">
        <v>4566.4317434210516</v>
      </c>
      <c r="L242" s="324">
        <v>4513.6406249999991</v>
      </c>
      <c r="M242" s="324">
        <v>4464.9103618421041</v>
      </c>
      <c r="N242" s="324">
        <v>4418.2105263157882</v>
      </c>
      <c r="O242" s="324">
        <v>4371.5106907894724</v>
      </c>
      <c r="P242" s="260">
        <v>791</v>
      </c>
      <c r="Q242" s="260" t="s">
        <v>352</v>
      </c>
      <c r="Z242" s="430"/>
    </row>
    <row r="243" spans="1:26" x14ac:dyDescent="0.2">
      <c r="A243" s="154" t="s">
        <v>261</v>
      </c>
      <c r="B243" s="342">
        <v>21593</v>
      </c>
      <c r="C243" s="342">
        <v>21232</v>
      </c>
      <c r="D243" s="342">
        <v>21290</v>
      </c>
      <c r="E243" s="319">
        <v>21269</v>
      </c>
      <c r="F243" s="324">
        <v>21222.980526810912</v>
      </c>
      <c r="G243" s="325">
        <v>21157.953010348072</v>
      </c>
      <c r="H243" s="325">
        <v>21087.923377234241</v>
      </c>
      <c r="I243" s="325">
        <v>21016.893320790216</v>
      </c>
      <c r="J243" s="325">
        <v>20943.862417685792</v>
      </c>
      <c r="K243" s="325">
        <v>20873.832784571965</v>
      </c>
      <c r="L243" s="324">
        <v>20800.801881467545</v>
      </c>
      <c r="M243" s="324">
        <v>20729.771825023519</v>
      </c>
      <c r="N243" s="324">
        <v>20666.745155221073</v>
      </c>
      <c r="O243" s="324">
        <v>20607.720178739415</v>
      </c>
      <c r="P243" s="260">
        <v>749</v>
      </c>
      <c r="Q243" s="260" t="s">
        <v>261</v>
      </c>
      <c r="Z243" s="430"/>
    </row>
    <row r="244" spans="1:26" x14ac:dyDescent="0.2">
      <c r="A244" s="154" t="s">
        <v>262</v>
      </c>
      <c r="B244" s="342">
        <v>2882</v>
      </c>
      <c r="C244" s="342">
        <v>2877</v>
      </c>
      <c r="D244" s="342">
        <v>2828</v>
      </c>
      <c r="E244" s="319">
        <v>2778</v>
      </c>
      <c r="F244" s="324">
        <v>2733.1614060258248</v>
      </c>
      <c r="G244" s="325">
        <v>2691.312051649928</v>
      </c>
      <c r="H244" s="325">
        <v>2652.4519368723095</v>
      </c>
      <c r="I244" s="325">
        <v>2611.5989956958388</v>
      </c>
      <c r="J244" s="325">
        <v>2575.7281205164986</v>
      </c>
      <c r="K244" s="325">
        <v>2540.8536585365846</v>
      </c>
      <c r="L244" s="324">
        <v>2507.9720229555228</v>
      </c>
      <c r="M244" s="324">
        <v>2479.0760401721654</v>
      </c>
      <c r="N244" s="324">
        <v>2450.1800573888081</v>
      </c>
      <c r="O244" s="324">
        <v>2424.2733142037291</v>
      </c>
      <c r="P244" s="260">
        <v>751</v>
      </c>
      <c r="Q244" s="260" t="s">
        <v>262</v>
      </c>
      <c r="Z244" s="430"/>
    </row>
    <row r="245" spans="1:26" x14ac:dyDescent="0.2">
      <c r="A245" s="154" t="s">
        <v>263</v>
      </c>
      <c r="B245" s="342">
        <v>21551</v>
      </c>
      <c r="C245" s="342">
        <v>22320</v>
      </c>
      <c r="D245" s="342">
        <v>22595</v>
      </c>
      <c r="E245" s="319">
        <v>22826</v>
      </c>
      <c r="F245" s="324">
        <v>23241.090230458747</v>
      </c>
      <c r="G245" s="325">
        <v>23629.432403107505</v>
      </c>
      <c r="H245" s="325">
        <v>24006.877218870708</v>
      </c>
      <c r="I245" s="325">
        <v>24372.434008940585</v>
      </c>
      <c r="J245" s="325">
        <v>24731.056117356016</v>
      </c>
      <c r="K245" s="325">
        <v>25082.743544117006</v>
      </c>
      <c r="L245" s="324">
        <v>25431.458964454661</v>
      </c>
      <c r="M245" s="324">
        <v>25774.230371945654</v>
      </c>
      <c r="N245" s="324">
        <v>26116.011110628871</v>
      </c>
      <c r="O245" s="324">
        <v>26454.819842888755</v>
      </c>
      <c r="P245" s="260">
        <v>753</v>
      </c>
      <c r="Q245" s="260" t="s">
        <v>263</v>
      </c>
      <c r="Z245" s="430"/>
    </row>
    <row r="246" spans="1:26" x14ac:dyDescent="0.2">
      <c r="A246" s="154" t="s">
        <v>264</v>
      </c>
      <c r="B246" s="342">
        <v>6103</v>
      </c>
      <c r="C246" s="342">
        <v>6217</v>
      </c>
      <c r="D246" s="342">
        <v>6158</v>
      </c>
      <c r="E246" s="319">
        <v>6182</v>
      </c>
      <c r="F246" s="324">
        <v>6189.0147511752311</v>
      </c>
      <c r="G246" s="325">
        <v>6197.0316096612096</v>
      </c>
      <c r="H246" s="325">
        <v>6206.0505754579344</v>
      </c>
      <c r="I246" s="325">
        <v>6222.0842924298913</v>
      </c>
      <c r="J246" s="325">
        <v>6240.1222240233419</v>
      </c>
      <c r="K246" s="325">
        <v>6267.1791214135183</v>
      </c>
      <c r="L246" s="324">
        <v>6300.2486626681793</v>
      </c>
      <c r="M246" s="324">
        <v>6331.3139893013458</v>
      </c>
      <c r="N246" s="324">
        <v>6362.3793159345114</v>
      </c>
      <c r="O246" s="324">
        <v>6396.4509644999189</v>
      </c>
      <c r="P246" s="260">
        <v>755</v>
      </c>
      <c r="Q246" s="260" t="s">
        <v>264</v>
      </c>
      <c r="Z246" s="430"/>
    </row>
    <row r="247" spans="1:26" x14ac:dyDescent="0.2">
      <c r="A247" s="154" t="s">
        <v>265</v>
      </c>
      <c r="B247" s="342">
        <v>8158</v>
      </c>
      <c r="C247" s="342">
        <v>8134</v>
      </c>
      <c r="D247" s="342">
        <v>8126</v>
      </c>
      <c r="E247" s="319">
        <v>8127</v>
      </c>
      <c r="F247" s="324">
        <v>8078.7088388214906</v>
      </c>
      <c r="G247" s="325">
        <v>8026.3934142114385</v>
      </c>
      <c r="H247" s="325">
        <v>7974.0779896013864</v>
      </c>
      <c r="I247" s="325">
        <v>7920.7564991334484</v>
      </c>
      <c r="J247" s="325">
        <v>7871.4592720970531</v>
      </c>
      <c r="K247" s="325">
        <v>7820.149913344886</v>
      </c>
      <c r="L247" s="324">
        <v>7772.8648180242617</v>
      </c>
      <c r="M247" s="324">
        <v>7728.5979202772942</v>
      </c>
      <c r="N247" s="324">
        <v>7684.3310225303276</v>
      </c>
      <c r="O247" s="324">
        <v>7646.1005199306746</v>
      </c>
      <c r="P247" s="260">
        <v>758</v>
      </c>
      <c r="Q247" s="260" t="s">
        <v>265</v>
      </c>
      <c r="Z247" s="430"/>
    </row>
    <row r="248" spans="1:26" x14ac:dyDescent="0.2">
      <c r="A248" s="154" t="s">
        <v>266</v>
      </c>
      <c r="B248" s="342">
        <v>1959</v>
      </c>
      <c r="C248" s="342">
        <v>1942</v>
      </c>
      <c r="D248" s="342">
        <v>1873</v>
      </c>
      <c r="E248" s="319">
        <v>1800</v>
      </c>
      <c r="F248" s="324">
        <v>1761.6602949208084</v>
      </c>
      <c r="G248" s="325">
        <v>1726.2697979246313</v>
      </c>
      <c r="H248" s="325">
        <v>1693.8285090114691</v>
      </c>
      <c r="I248" s="325">
        <v>1663.3533588203168</v>
      </c>
      <c r="J248" s="325">
        <v>1631.8951392681595</v>
      </c>
      <c r="K248" s="325">
        <v>1599.4538503549973</v>
      </c>
      <c r="L248" s="324">
        <v>1567.99563080284</v>
      </c>
      <c r="M248" s="324">
        <v>1534.5712725286728</v>
      </c>
      <c r="N248" s="324">
        <v>1505.0791916985254</v>
      </c>
      <c r="O248" s="324">
        <v>1476.5701802293829</v>
      </c>
      <c r="P248" s="260">
        <v>759</v>
      </c>
      <c r="Q248" s="260" t="s">
        <v>266</v>
      </c>
      <c r="Z248" s="430"/>
    </row>
    <row r="249" spans="1:26" x14ac:dyDescent="0.2">
      <c r="A249" s="154" t="s">
        <v>267</v>
      </c>
      <c r="B249" s="342">
        <v>8604</v>
      </c>
      <c r="C249" s="342">
        <v>8426</v>
      </c>
      <c r="D249" s="342">
        <v>8410</v>
      </c>
      <c r="E249" s="319">
        <v>8429</v>
      </c>
      <c r="F249" s="324">
        <v>8335.6825511432016</v>
      </c>
      <c r="G249" s="325">
        <v>8250.4796630565597</v>
      </c>
      <c r="H249" s="325">
        <v>8174.4056558363427</v>
      </c>
      <c r="I249" s="325">
        <v>8106.4462093862821</v>
      </c>
      <c r="J249" s="325">
        <v>8044.5726835138394</v>
      </c>
      <c r="K249" s="325">
        <v>7988.7850782190135</v>
      </c>
      <c r="L249" s="324">
        <v>7937.0547533092667</v>
      </c>
      <c r="M249" s="324">
        <v>7888.367388688328</v>
      </c>
      <c r="N249" s="324">
        <v>7843.7373044524675</v>
      </c>
      <c r="O249" s="324">
        <v>7804.1788206979554</v>
      </c>
      <c r="P249" s="260">
        <v>761</v>
      </c>
      <c r="Q249" s="260" t="s">
        <v>267</v>
      </c>
      <c r="Z249" s="430"/>
    </row>
    <row r="250" spans="1:26" x14ac:dyDescent="0.2">
      <c r="A250" s="154" t="s">
        <v>268</v>
      </c>
      <c r="B250" s="342">
        <v>3709</v>
      </c>
      <c r="C250" s="342">
        <v>3672</v>
      </c>
      <c r="D250" s="342">
        <v>3637</v>
      </c>
      <c r="E250" s="319">
        <v>3570</v>
      </c>
      <c r="F250" s="324">
        <v>3508.0347144456887</v>
      </c>
      <c r="G250" s="325">
        <v>3446.0694288913774</v>
      </c>
      <c r="H250" s="325">
        <v>3392.0996640537514</v>
      </c>
      <c r="I250" s="325">
        <v>3339.1293393057113</v>
      </c>
      <c r="J250" s="325">
        <v>3286.1590145576706</v>
      </c>
      <c r="K250" s="325">
        <v>3237.1864501679729</v>
      </c>
      <c r="L250" s="324">
        <v>3192.2116461366177</v>
      </c>
      <c r="M250" s="324">
        <v>3147.2368421052629</v>
      </c>
      <c r="N250" s="324">
        <v>3106.2597984322506</v>
      </c>
      <c r="O250" s="324">
        <v>3067.2816349384093</v>
      </c>
      <c r="P250" s="260">
        <v>762</v>
      </c>
      <c r="Q250" s="260" t="s">
        <v>268</v>
      </c>
      <c r="Z250" s="430"/>
    </row>
    <row r="251" spans="1:26" x14ac:dyDescent="0.2">
      <c r="A251" s="154" t="s">
        <v>269</v>
      </c>
      <c r="B251" s="342">
        <v>10172</v>
      </c>
      <c r="C251" s="342">
        <v>10354</v>
      </c>
      <c r="D251" s="342">
        <v>10274</v>
      </c>
      <c r="E251" s="319">
        <v>10185</v>
      </c>
      <c r="F251" s="324">
        <v>10165.16553067186</v>
      </c>
      <c r="G251" s="325">
        <v>10142.355890944498</v>
      </c>
      <c r="H251" s="325">
        <v>10114.587633885103</v>
      </c>
      <c r="I251" s="325">
        <v>10090.786270691335</v>
      </c>
      <c r="J251" s="325">
        <v>10065.99318403116</v>
      </c>
      <c r="K251" s="325">
        <v>10039.216650438171</v>
      </c>
      <c r="L251" s="324">
        <v>10012.440116845182</v>
      </c>
      <c r="M251" s="324">
        <v>9984.6718597857853</v>
      </c>
      <c r="N251" s="324">
        <v>9957.8953261927963</v>
      </c>
      <c r="O251" s="324">
        <v>9932.1105160662137</v>
      </c>
      <c r="P251" s="260">
        <v>765</v>
      </c>
      <c r="Q251" s="260" t="s">
        <v>269</v>
      </c>
      <c r="Z251" s="430"/>
    </row>
    <row r="252" spans="1:26" x14ac:dyDescent="0.2">
      <c r="A252" s="154" t="s">
        <v>270</v>
      </c>
      <c r="B252" s="342">
        <v>2373</v>
      </c>
      <c r="C252" s="342">
        <v>2375</v>
      </c>
      <c r="D252" s="342">
        <v>2368</v>
      </c>
      <c r="E252" s="319">
        <v>2361</v>
      </c>
      <c r="F252" s="324">
        <v>2332.7245508982037</v>
      </c>
      <c r="G252" s="325">
        <v>2307.4786142001713</v>
      </c>
      <c r="H252" s="325">
        <v>2284.2523524379812</v>
      </c>
      <c r="I252" s="325">
        <v>2264.0556030795551</v>
      </c>
      <c r="J252" s="325">
        <v>2242.849016253208</v>
      </c>
      <c r="K252" s="325">
        <v>2220.6325919589394</v>
      </c>
      <c r="L252" s="324">
        <v>2201.4456800684347</v>
      </c>
      <c r="M252" s="324">
        <v>2180.2390932420872</v>
      </c>
      <c r="N252" s="324">
        <v>2162.0620188195039</v>
      </c>
      <c r="O252" s="324">
        <v>2142.8751069289992</v>
      </c>
      <c r="P252" s="260">
        <v>768</v>
      </c>
      <c r="Q252" s="260" t="s">
        <v>270</v>
      </c>
      <c r="Z252" s="430"/>
    </row>
    <row r="253" spans="1:26" x14ac:dyDescent="0.2">
      <c r="A253" s="154" t="s">
        <v>271</v>
      </c>
      <c r="B253" s="342">
        <v>7377</v>
      </c>
      <c r="C253" s="342">
        <v>7367</v>
      </c>
      <c r="D253" s="342">
        <v>7172</v>
      </c>
      <c r="E253" s="319">
        <v>7038</v>
      </c>
      <c r="F253" s="324">
        <v>6900.8831058020478</v>
      </c>
      <c r="G253" s="325">
        <v>6767.7696245733787</v>
      </c>
      <c r="H253" s="325">
        <v>6642.6629692832767</v>
      </c>
      <c r="I253" s="325">
        <v>6524.56228668942</v>
      </c>
      <c r="J253" s="325">
        <v>6408.463310580205</v>
      </c>
      <c r="K253" s="325">
        <v>6297.3686006825947</v>
      </c>
      <c r="L253" s="324">
        <v>6189.2764505119458</v>
      </c>
      <c r="M253" s="324">
        <v>6084.1868600682601</v>
      </c>
      <c r="N253" s="324">
        <v>5983.1006825938575</v>
      </c>
      <c r="O253" s="324">
        <v>5888.0196245733796</v>
      </c>
      <c r="P253" s="260">
        <v>777</v>
      </c>
      <c r="Q253" s="260" t="s">
        <v>271</v>
      </c>
      <c r="Z253" s="430"/>
    </row>
    <row r="254" spans="1:26" x14ac:dyDescent="0.2">
      <c r="A254" s="154" t="s">
        <v>272</v>
      </c>
      <c r="B254" s="342">
        <v>6937</v>
      </c>
      <c r="C254" s="342">
        <v>6763</v>
      </c>
      <c r="D254" s="342">
        <v>6708</v>
      </c>
      <c r="E254" s="319">
        <v>6632</v>
      </c>
      <c r="F254" s="324">
        <v>6548.8369844387371</v>
      </c>
      <c r="G254" s="325">
        <v>6468.6798610061942</v>
      </c>
      <c r="H254" s="325">
        <v>6389.5247016165576</v>
      </c>
      <c r="I254" s="325">
        <v>6315.3793624414557</v>
      </c>
      <c r="J254" s="325">
        <v>6243.2379513521673</v>
      </c>
      <c r="K254" s="325">
        <v>6176.1063604774126</v>
      </c>
      <c r="L254" s="324">
        <v>6111.9806617313779</v>
      </c>
      <c r="M254" s="324">
        <v>6048.8569270282505</v>
      </c>
      <c r="N254" s="324">
        <v>5987.7371204109368</v>
      </c>
      <c r="O254" s="324">
        <v>5929.623205922343</v>
      </c>
      <c r="P254" s="260">
        <v>778</v>
      </c>
      <c r="Q254" s="260" t="s">
        <v>272</v>
      </c>
      <c r="Z254" s="430"/>
    </row>
    <row r="255" spans="1:26" x14ac:dyDescent="0.2">
      <c r="A255" s="154" t="s">
        <v>273</v>
      </c>
      <c r="B255" s="342">
        <v>3523</v>
      </c>
      <c r="C255" s="342">
        <v>3504</v>
      </c>
      <c r="D255" s="342">
        <v>3496</v>
      </c>
      <c r="E255" s="319">
        <v>3428</v>
      </c>
      <c r="F255" s="324">
        <v>3377.2369337979094</v>
      </c>
      <c r="G255" s="325">
        <v>3334.4367015098724</v>
      </c>
      <c r="H255" s="325">
        <v>3291.6364692218353</v>
      </c>
      <c r="I255" s="325">
        <v>3253.8130081300815</v>
      </c>
      <c r="J255" s="325">
        <v>3220.9663182346108</v>
      </c>
      <c r="K255" s="325">
        <v>3187.1242740998837</v>
      </c>
      <c r="L255" s="324">
        <v>3155.2729384436702</v>
      </c>
      <c r="M255" s="324">
        <v>3126.4076655052263</v>
      </c>
      <c r="N255" s="324">
        <v>3099.533101045296</v>
      </c>
      <c r="O255" s="324">
        <v>3075.6445993031357</v>
      </c>
      <c r="P255" s="260">
        <v>781</v>
      </c>
      <c r="Q255" s="260" t="s">
        <v>273</v>
      </c>
      <c r="Z255" s="430"/>
    </row>
    <row r="256" spans="1:26" x14ac:dyDescent="0.2">
      <c r="A256" s="154" t="s">
        <v>274</v>
      </c>
      <c r="B256" s="342">
        <v>6538</v>
      </c>
      <c r="C256" s="342">
        <v>6419</v>
      </c>
      <c r="D256" s="342">
        <v>6377</v>
      </c>
      <c r="E256" s="319">
        <v>6256</v>
      </c>
      <c r="F256" s="319">
        <v>6167.438842055034</v>
      </c>
      <c r="G256" s="319">
        <v>6079.8727533004612</v>
      </c>
      <c r="H256" s="319">
        <v>6000.2672180690315</v>
      </c>
      <c r="I256" s="325">
        <v>5923.6468904087806</v>
      </c>
      <c r="J256" s="325">
        <v>5851.0068395101007</v>
      </c>
      <c r="K256" s="325">
        <v>5785.3322729441707</v>
      </c>
      <c r="L256" s="324">
        <v>5725.6281215205981</v>
      </c>
      <c r="M256" s="324">
        <v>5666.9190392874179</v>
      </c>
      <c r="N256" s="324">
        <v>5611.1951646254165</v>
      </c>
      <c r="O256" s="324">
        <v>5559.4515667249871</v>
      </c>
      <c r="P256" s="260">
        <v>783</v>
      </c>
      <c r="Q256" s="260" t="s">
        <v>274</v>
      </c>
      <c r="Z256" s="430"/>
    </row>
    <row r="257" spans="1:26" x14ac:dyDescent="0.2">
      <c r="A257" s="154" t="s">
        <v>275</v>
      </c>
      <c r="B257" s="342">
        <v>4652</v>
      </c>
      <c r="C257" s="342">
        <v>4559</v>
      </c>
      <c r="D257" s="342">
        <v>4625</v>
      </c>
      <c r="E257" s="319">
        <v>4596</v>
      </c>
      <c r="F257" s="324">
        <v>4576.0434216239682</v>
      </c>
      <c r="G257" s="325">
        <v>4556.0868432479365</v>
      </c>
      <c r="H257" s="325">
        <v>4541.1194094659131</v>
      </c>
      <c r="I257" s="325">
        <v>4521.1628310898823</v>
      </c>
      <c r="J257" s="325">
        <v>4503.2019105514546</v>
      </c>
      <c r="K257" s="325">
        <v>4485.2409900130269</v>
      </c>
      <c r="L257" s="324">
        <v>4468.2778983934004</v>
      </c>
      <c r="M257" s="324">
        <v>4452.312635692575</v>
      </c>
      <c r="N257" s="324">
        <v>4433.3538862353453</v>
      </c>
      <c r="O257" s="324">
        <v>4418.3864524533219</v>
      </c>
      <c r="P257" s="260">
        <v>831</v>
      </c>
      <c r="Q257" s="260" t="s">
        <v>275</v>
      </c>
      <c r="Z257" s="430"/>
    </row>
    <row r="258" spans="1:26" x14ac:dyDescent="0.2">
      <c r="A258" s="154" t="s">
        <v>276</v>
      </c>
      <c r="B258" s="342">
        <v>3874</v>
      </c>
      <c r="C258" s="342">
        <v>3825</v>
      </c>
      <c r="D258" s="342">
        <v>3731</v>
      </c>
      <c r="E258" s="319">
        <v>3657</v>
      </c>
      <c r="F258" s="324">
        <v>3602.2991569214032</v>
      </c>
      <c r="G258" s="325">
        <v>3547.5983138428069</v>
      </c>
      <c r="H258" s="325">
        <v>3494.8865923307044</v>
      </c>
      <c r="I258" s="325">
        <v>3444.1639923850962</v>
      </c>
      <c r="J258" s="325">
        <v>3394.4359532227354</v>
      </c>
      <c r="K258" s="325">
        <v>3347.6915964101163</v>
      </c>
      <c r="L258" s="324">
        <v>3303.9309219472393</v>
      </c>
      <c r="M258" s="324">
        <v>3263.1539298341036</v>
      </c>
      <c r="N258" s="324">
        <v>3225.3606200707095</v>
      </c>
      <c r="O258" s="324">
        <v>3191.545553440304</v>
      </c>
      <c r="P258" s="260">
        <v>832</v>
      </c>
      <c r="Q258" s="260" t="s">
        <v>276</v>
      </c>
      <c r="Z258" s="430"/>
    </row>
    <row r="259" spans="1:26" x14ac:dyDescent="0.2">
      <c r="A259" s="154" t="s">
        <v>277</v>
      </c>
      <c r="B259" s="342">
        <v>1668</v>
      </c>
      <c r="C259" s="342">
        <v>1691</v>
      </c>
      <c r="D259" s="342">
        <v>1705</v>
      </c>
      <c r="E259" s="319">
        <v>1692</v>
      </c>
      <c r="F259" s="324">
        <v>1702.8272251308899</v>
      </c>
      <c r="G259" s="325">
        <v>1713.6544502617801</v>
      </c>
      <c r="H259" s="325">
        <v>1724.48167539267</v>
      </c>
      <c r="I259" s="325">
        <v>1735.3089005235599</v>
      </c>
      <c r="J259" s="325">
        <v>1746.1361256544499</v>
      </c>
      <c r="K259" s="325">
        <v>1756.96335078534</v>
      </c>
      <c r="L259" s="324">
        <v>1766.8062827225128</v>
      </c>
      <c r="M259" s="324">
        <v>1775.6649214659683</v>
      </c>
      <c r="N259" s="324">
        <v>1786.4921465968584</v>
      </c>
      <c r="O259" s="324">
        <v>1794.3664921465968</v>
      </c>
      <c r="P259" s="260">
        <v>833</v>
      </c>
      <c r="Q259" s="260" t="s">
        <v>277</v>
      </c>
      <c r="Z259" s="430"/>
    </row>
    <row r="260" spans="1:26" x14ac:dyDescent="0.2">
      <c r="A260" s="154" t="s">
        <v>278</v>
      </c>
      <c r="B260" s="342">
        <v>5856</v>
      </c>
      <c r="C260" s="342">
        <v>5879</v>
      </c>
      <c r="D260" s="342">
        <v>5844</v>
      </c>
      <c r="E260" s="319">
        <v>5832</v>
      </c>
      <c r="F260" s="324">
        <v>5788.7702120324084</v>
      </c>
      <c r="G260" s="325">
        <v>5747.5511118772629</v>
      </c>
      <c r="H260" s="325">
        <v>5713.3694190656788</v>
      </c>
      <c r="I260" s="325">
        <v>5685.2197896914331</v>
      </c>
      <c r="J260" s="325">
        <v>5660.0861920358566</v>
      </c>
      <c r="K260" s="325">
        <v>5639.9793139113954</v>
      </c>
      <c r="L260" s="324">
        <v>5625.9044992242725</v>
      </c>
      <c r="M260" s="324">
        <v>5613.8403723495958</v>
      </c>
      <c r="N260" s="324">
        <v>5605.7976210998113</v>
      </c>
      <c r="O260" s="324">
        <v>5597.7548698500268</v>
      </c>
      <c r="P260" s="260">
        <v>834</v>
      </c>
      <c r="Q260" s="260" t="s">
        <v>278</v>
      </c>
      <c r="Z260" s="430"/>
    </row>
    <row r="261" spans="1:26" x14ac:dyDescent="0.2">
      <c r="A261" s="154" t="s">
        <v>279</v>
      </c>
      <c r="B261" s="342">
        <v>243298</v>
      </c>
      <c r="C261" s="342">
        <v>249009</v>
      </c>
      <c r="D261" s="342">
        <v>255050</v>
      </c>
      <c r="E261" s="319">
        <v>260179</v>
      </c>
      <c r="F261" s="324">
        <v>264789.18719244015</v>
      </c>
      <c r="G261" s="325">
        <v>269038.28139801312</v>
      </c>
      <c r="H261" s="325">
        <v>273181.34829996305</v>
      </c>
      <c r="I261" s="325">
        <v>277224.38944377803</v>
      </c>
      <c r="J261" s="325">
        <v>281174.40663252748</v>
      </c>
      <c r="K261" s="325">
        <v>285003.39265393361</v>
      </c>
      <c r="L261" s="324">
        <v>288681.33978055604</v>
      </c>
      <c r="M261" s="324">
        <v>292199.24569416244</v>
      </c>
      <c r="N261" s="324">
        <v>295556.11013717158</v>
      </c>
      <c r="O261" s="324">
        <v>298734.92873070051</v>
      </c>
      <c r="P261" s="260">
        <v>837</v>
      </c>
      <c r="Q261" s="260" t="s">
        <v>279</v>
      </c>
      <c r="Z261" s="430"/>
    </row>
    <row r="262" spans="1:26" x14ac:dyDescent="0.2">
      <c r="A262" s="154" t="s">
        <v>280</v>
      </c>
      <c r="B262" s="342">
        <v>1516</v>
      </c>
      <c r="C262" s="342">
        <v>1441</v>
      </c>
      <c r="D262" s="342">
        <v>1412</v>
      </c>
      <c r="E262" s="319">
        <v>1388</v>
      </c>
      <c r="F262" s="324">
        <v>1362.891461649783</v>
      </c>
      <c r="G262" s="325">
        <v>1338.7872648335745</v>
      </c>
      <c r="H262" s="325">
        <v>1315.6874095513747</v>
      </c>
      <c r="I262" s="325">
        <v>1294.5962373371924</v>
      </c>
      <c r="J262" s="325">
        <v>1272.5007235890014</v>
      </c>
      <c r="K262" s="325">
        <v>1251.4095513748191</v>
      </c>
      <c r="L262" s="324">
        <v>1232.3270622286541</v>
      </c>
      <c r="M262" s="324">
        <v>1213.2445730824891</v>
      </c>
      <c r="N262" s="324">
        <v>1194.1620839363241</v>
      </c>
      <c r="O262" s="324">
        <v>1177.0882778581765</v>
      </c>
      <c r="P262" s="260">
        <v>844</v>
      </c>
      <c r="Q262" s="260" t="s">
        <v>280</v>
      </c>
      <c r="Z262" s="430"/>
    </row>
    <row r="263" spans="1:26" x14ac:dyDescent="0.2">
      <c r="A263" s="154" t="s">
        <v>281</v>
      </c>
      <c r="B263" s="342">
        <v>2917</v>
      </c>
      <c r="C263" s="342">
        <v>2863</v>
      </c>
      <c r="D263" s="342">
        <v>2831</v>
      </c>
      <c r="E263" s="319">
        <v>2826</v>
      </c>
      <c r="F263" s="324">
        <v>2795.732238486255</v>
      </c>
      <c r="G263" s="325">
        <v>2768.4912531238847</v>
      </c>
      <c r="H263" s="325">
        <v>2740.2413423777225</v>
      </c>
      <c r="I263" s="325">
        <v>2715.018207782935</v>
      </c>
      <c r="J263" s="325">
        <v>2691.8129239557306</v>
      </c>
      <c r="K263" s="325">
        <v>2670.6254908961091</v>
      </c>
      <c r="L263" s="324">
        <v>2650.446983220279</v>
      </c>
      <c r="M263" s="324">
        <v>2632.2863263120321</v>
      </c>
      <c r="N263" s="324">
        <v>2616.143520171368</v>
      </c>
      <c r="O263" s="324">
        <v>2596.9739378793292</v>
      </c>
      <c r="P263" s="260">
        <v>845</v>
      </c>
      <c r="Q263" s="260" t="s">
        <v>281</v>
      </c>
      <c r="Z263" s="430"/>
    </row>
    <row r="264" spans="1:26" x14ac:dyDescent="0.2">
      <c r="A264" s="154" t="s">
        <v>282</v>
      </c>
      <c r="B264" s="342">
        <v>4858</v>
      </c>
      <c r="C264" s="342">
        <v>4862</v>
      </c>
      <c r="D264" s="342">
        <v>4758</v>
      </c>
      <c r="E264" s="319">
        <v>4662</v>
      </c>
      <c r="F264" s="324">
        <v>4585.2305389221556</v>
      </c>
      <c r="G264" s="325">
        <v>4510.4550898203588</v>
      </c>
      <c r="H264" s="325">
        <v>4437.6736526946097</v>
      </c>
      <c r="I264" s="325">
        <v>4368.8802395209568</v>
      </c>
      <c r="J264" s="325">
        <v>4303.0778443113759</v>
      </c>
      <c r="K264" s="325">
        <v>4240.2664670658669</v>
      </c>
      <c r="L264" s="324">
        <v>4181.4431137724532</v>
      </c>
      <c r="M264" s="324">
        <v>4123.6167664670638</v>
      </c>
      <c r="N264" s="324">
        <v>4070.775449101794</v>
      </c>
      <c r="O264" s="324">
        <v>4020.9251497005966</v>
      </c>
      <c r="P264" s="260">
        <v>846</v>
      </c>
      <c r="Q264" s="260" t="s">
        <v>282</v>
      </c>
      <c r="Z264" s="430"/>
    </row>
    <row r="265" spans="1:26" x14ac:dyDescent="0.2">
      <c r="A265" s="154" t="s">
        <v>283</v>
      </c>
      <c r="B265" s="342">
        <v>4265</v>
      </c>
      <c r="C265" s="342">
        <v>4160</v>
      </c>
      <c r="D265" s="342">
        <v>4066</v>
      </c>
      <c r="E265" s="319">
        <v>3976</v>
      </c>
      <c r="F265" s="324">
        <v>3896.0402212166919</v>
      </c>
      <c r="G265" s="325">
        <v>3826.0754147812972</v>
      </c>
      <c r="H265" s="325">
        <v>3756.1106083459026</v>
      </c>
      <c r="I265" s="325">
        <v>3690.1437908496737</v>
      </c>
      <c r="J265" s="325">
        <v>3626.1759678230269</v>
      </c>
      <c r="K265" s="325">
        <v>3566.2061337355458</v>
      </c>
      <c r="L265" s="324">
        <v>3511.2337858220217</v>
      </c>
      <c r="M265" s="324">
        <v>3456.2614379084971</v>
      </c>
      <c r="N265" s="324">
        <v>3405.2870789341382</v>
      </c>
      <c r="O265" s="324">
        <v>3360.3097033685276</v>
      </c>
      <c r="P265" s="260">
        <v>848</v>
      </c>
      <c r="Q265" s="260" t="s">
        <v>283</v>
      </c>
      <c r="Z265" s="430"/>
    </row>
    <row r="266" spans="1:26" x14ac:dyDescent="0.2">
      <c r="A266" s="154" t="s">
        <v>284</v>
      </c>
      <c r="B266" s="342">
        <v>2955</v>
      </c>
      <c r="C266" s="342">
        <v>2903</v>
      </c>
      <c r="D266" s="342">
        <v>2849</v>
      </c>
      <c r="E266" s="319">
        <v>2799</v>
      </c>
      <c r="F266" s="324">
        <v>2751.9663925634609</v>
      </c>
      <c r="G266" s="325">
        <v>2705.9335001787631</v>
      </c>
      <c r="H266" s="325">
        <v>2659.9006077940653</v>
      </c>
      <c r="I266" s="325">
        <v>2618.8712906685737</v>
      </c>
      <c r="J266" s="325">
        <v>2576.8412584912408</v>
      </c>
      <c r="K266" s="325">
        <v>2537.8133714694318</v>
      </c>
      <c r="L266" s="324">
        <v>2500.786914551305</v>
      </c>
      <c r="M266" s="324">
        <v>2465.7618877368609</v>
      </c>
      <c r="N266" s="324">
        <v>2431.7375759742581</v>
      </c>
      <c r="O266" s="324">
        <v>2401.7161244190202</v>
      </c>
      <c r="P266" s="260">
        <v>849</v>
      </c>
      <c r="Q266" s="260" t="s">
        <v>284</v>
      </c>
      <c r="Z266" s="430"/>
    </row>
    <row r="267" spans="1:26" x14ac:dyDescent="0.2">
      <c r="A267" s="154" t="s">
        <v>285</v>
      </c>
      <c r="B267" s="342">
        <v>2387</v>
      </c>
      <c r="C267" s="342">
        <v>2407</v>
      </c>
      <c r="D267" s="342">
        <v>2368</v>
      </c>
      <c r="E267" s="319">
        <v>2349</v>
      </c>
      <c r="F267" s="324">
        <v>2342.047357293869</v>
      </c>
      <c r="G267" s="325">
        <v>2333.1082452431292</v>
      </c>
      <c r="H267" s="325">
        <v>2323.175898520085</v>
      </c>
      <c r="I267" s="325">
        <v>2311.2570824524319</v>
      </c>
      <c r="J267" s="325">
        <v>2298.3450317124739</v>
      </c>
      <c r="K267" s="325">
        <v>2284.4397463002119</v>
      </c>
      <c r="L267" s="324">
        <v>2270.5344608879495</v>
      </c>
      <c r="M267" s="324">
        <v>2259.6088794926009</v>
      </c>
      <c r="N267" s="324">
        <v>2251.6630021141655</v>
      </c>
      <c r="O267" s="324">
        <v>2242.7238900634252</v>
      </c>
      <c r="P267" s="260">
        <v>850</v>
      </c>
      <c r="Q267" s="260" t="s">
        <v>285</v>
      </c>
      <c r="Z267" s="430"/>
    </row>
    <row r="268" spans="1:26" x14ac:dyDescent="0.2">
      <c r="A268" s="154" t="s">
        <v>286</v>
      </c>
      <c r="B268" s="342">
        <v>21461</v>
      </c>
      <c r="C268" s="342">
        <v>21227</v>
      </c>
      <c r="D268" s="342">
        <v>21018</v>
      </c>
      <c r="E268" s="319">
        <v>20959</v>
      </c>
      <c r="F268" s="324">
        <v>20805.399051587872</v>
      </c>
      <c r="G268" s="325">
        <v>20647.782392106146</v>
      </c>
      <c r="H268" s="325">
        <v>20498.197154763617</v>
      </c>
      <c r="I268" s="325">
        <v>20358.651195095084</v>
      </c>
      <c r="J268" s="325">
        <v>20223.120946496147</v>
      </c>
      <c r="K268" s="325">
        <v>20095.622120036405</v>
      </c>
      <c r="L268" s="324">
        <v>19972.139004646262</v>
      </c>
      <c r="M268" s="324">
        <v>19855.683383627918</v>
      </c>
      <c r="N268" s="324">
        <v>19752.278823585766</v>
      </c>
      <c r="O268" s="324">
        <v>19651.886046845812</v>
      </c>
      <c r="P268" s="260">
        <v>851</v>
      </c>
      <c r="Q268" s="260" t="s">
        <v>286</v>
      </c>
      <c r="Z268" s="430"/>
    </row>
    <row r="269" spans="1:26" x14ac:dyDescent="0.2">
      <c r="A269" s="154" t="s">
        <v>287</v>
      </c>
      <c r="B269" s="342">
        <v>195986</v>
      </c>
      <c r="C269" s="342">
        <v>197900</v>
      </c>
      <c r="D269" s="342">
        <v>201863</v>
      </c>
      <c r="E269" s="319">
        <v>206073</v>
      </c>
      <c r="F269" s="324">
        <v>208985.91973542474</v>
      </c>
      <c r="G269" s="325">
        <v>211600.51631173873</v>
      </c>
      <c r="H269" s="325">
        <v>214157.85894842536</v>
      </c>
      <c r="I269" s="325">
        <v>216660.96101072826</v>
      </c>
      <c r="J269" s="325">
        <v>219120.87150454038</v>
      </c>
      <c r="K269" s="325">
        <v>221511.47459775102</v>
      </c>
      <c r="L269" s="324">
        <v>223803.64109300592</v>
      </c>
      <c r="M269" s="324">
        <v>225989.33534965562</v>
      </c>
      <c r="N269" s="324">
        <v>228066.54845753778</v>
      </c>
      <c r="O269" s="324">
        <v>230021.21804551588</v>
      </c>
      <c r="P269" s="260">
        <v>853</v>
      </c>
      <c r="Q269" s="260" t="s">
        <v>287</v>
      </c>
      <c r="Z269" s="430"/>
    </row>
    <row r="270" spans="1:26" x14ac:dyDescent="0.2">
      <c r="A270" s="154" t="s">
        <v>288</v>
      </c>
      <c r="B270" s="342">
        <v>2401</v>
      </c>
      <c r="C270" s="342">
        <v>2394</v>
      </c>
      <c r="D270" s="342">
        <v>2313</v>
      </c>
      <c r="E270" s="319">
        <v>2311</v>
      </c>
      <c r="F270" s="324">
        <v>2275.4305189094107</v>
      </c>
      <c r="G270" s="325">
        <v>2239.8610378188214</v>
      </c>
      <c r="H270" s="325">
        <v>2208.3566402814422</v>
      </c>
      <c r="I270" s="325">
        <v>2176.852242744063</v>
      </c>
      <c r="J270" s="325">
        <v>2147.3803869832891</v>
      </c>
      <c r="K270" s="325">
        <v>2118.9248021108178</v>
      </c>
      <c r="L270" s="324">
        <v>2094.5343007915567</v>
      </c>
      <c r="M270" s="324">
        <v>2070.1437994722955</v>
      </c>
      <c r="N270" s="324">
        <v>2047.7858399296395</v>
      </c>
      <c r="O270" s="324">
        <v>2028.4766930518911</v>
      </c>
      <c r="P270" s="260">
        <v>857</v>
      </c>
      <c r="Q270" s="260" t="s">
        <v>288</v>
      </c>
      <c r="Z270" s="430"/>
    </row>
    <row r="271" spans="1:26" x14ac:dyDescent="0.2">
      <c r="A271" s="154" t="s">
        <v>289</v>
      </c>
      <c r="B271" s="342">
        <v>38751</v>
      </c>
      <c r="C271" s="342">
        <v>40384</v>
      </c>
      <c r="D271" s="342">
        <v>41338</v>
      </c>
      <c r="E271" s="319">
        <v>42225</v>
      </c>
      <c r="F271" s="324">
        <v>42850.451276433603</v>
      </c>
      <c r="G271" s="325">
        <v>43447.747189940936</v>
      </c>
      <c r="H271" s="325">
        <v>44026.943227281386</v>
      </c>
      <c r="I271" s="325">
        <v>44588.039388454948</v>
      </c>
      <c r="J271" s="325">
        <v>45137.068965517246</v>
      </c>
      <c r="K271" s="325">
        <v>45677.0486044961</v>
      </c>
      <c r="L271" s="324">
        <v>46218.033792150891</v>
      </c>
      <c r="M271" s="324">
        <v>46757.0078824538</v>
      </c>
      <c r="N271" s="324">
        <v>47289.948680701091</v>
      </c>
      <c r="O271" s="324">
        <v>47820.8783815965</v>
      </c>
      <c r="P271" s="260">
        <v>858</v>
      </c>
      <c r="Q271" s="260" t="s">
        <v>289</v>
      </c>
      <c r="Z271" s="430"/>
    </row>
    <row r="272" spans="1:26" x14ac:dyDescent="0.2">
      <c r="A272" s="154" t="s">
        <v>290</v>
      </c>
      <c r="B272" s="342">
        <v>6814</v>
      </c>
      <c r="C272" s="342">
        <v>6562</v>
      </c>
      <c r="D272" s="342">
        <v>6525</v>
      </c>
      <c r="E272" s="319">
        <v>6501</v>
      </c>
      <c r="F272" s="324">
        <v>6477.0331797235021</v>
      </c>
      <c r="G272" s="325">
        <v>6442.0815668202767</v>
      </c>
      <c r="H272" s="325">
        <v>6402.1368663594476</v>
      </c>
      <c r="I272" s="325">
        <v>6362.1921658986184</v>
      </c>
      <c r="J272" s="325">
        <v>6322.2474654377893</v>
      </c>
      <c r="K272" s="325">
        <v>6287.295852534563</v>
      </c>
      <c r="L272" s="324">
        <v>6258.3359447004623</v>
      </c>
      <c r="M272" s="324">
        <v>6230.3746543778816</v>
      </c>
      <c r="N272" s="324">
        <v>6206.4078341013837</v>
      </c>
      <c r="O272" s="324">
        <v>6191.4285714285725</v>
      </c>
      <c r="P272" s="260">
        <v>859</v>
      </c>
      <c r="Q272" s="260" t="s">
        <v>290</v>
      </c>
      <c r="Z272" s="430"/>
    </row>
    <row r="273" spans="1:26" x14ac:dyDescent="0.2">
      <c r="A273" s="154" t="s">
        <v>291</v>
      </c>
      <c r="B273" s="342">
        <v>12858</v>
      </c>
      <c r="C273" s="342">
        <v>12599</v>
      </c>
      <c r="D273" s="342">
        <v>12533</v>
      </c>
      <c r="E273" s="319">
        <v>12382</v>
      </c>
      <c r="F273" s="324">
        <v>12305.531119666346</v>
      </c>
      <c r="G273" s="325">
        <v>12218.138113570742</v>
      </c>
      <c r="H273" s="325">
        <v>12122.800288739172</v>
      </c>
      <c r="I273" s="325">
        <v>12025.476259223613</v>
      </c>
      <c r="J273" s="325">
        <v>11924.17982034007</v>
      </c>
      <c r="K273" s="325">
        <v>11827.848893166505</v>
      </c>
      <c r="L273" s="324">
        <v>11729.53176130895</v>
      </c>
      <c r="M273" s="324">
        <v>11636.180141161372</v>
      </c>
      <c r="N273" s="324">
        <v>11543.821623355791</v>
      </c>
      <c r="O273" s="324">
        <v>11457.421719602182</v>
      </c>
      <c r="P273" s="260">
        <v>886</v>
      </c>
      <c r="Q273" s="260" t="s">
        <v>291</v>
      </c>
      <c r="Z273" s="430"/>
    </row>
    <row r="274" spans="1:26" x14ac:dyDescent="0.2">
      <c r="A274" s="154" t="s">
        <v>292</v>
      </c>
      <c r="B274" s="342">
        <v>4618</v>
      </c>
      <c r="C274" s="342">
        <v>4569</v>
      </c>
      <c r="D274" s="342">
        <v>4568</v>
      </c>
      <c r="E274" s="319">
        <v>4493</v>
      </c>
      <c r="F274" s="324">
        <v>4447.2342781222324</v>
      </c>
      <c r="G274" s="325">
        <v>4408.4329052258645</v>
      </c>
      <c r="H274" s="325">
        <v>4373.6111603188665</v>
      </c>
      <c r="I274" s="325">
        <v>4344.7588573959256</v>
      </c>
      <c r="J274" s="325">
        <v>4318.8912754650128</v>
      </c>
      <c r="K274" s="325">
        <v>4296.0084145261289</v>
      </c>
      <c r="L274" s="324">
        <v>4276.1102745792732</v>
      </c>
      <c r="M274" s="324">
        <v>4257.2070416297602</v>
      </c>
      <c r="N274" s="324">
        <v>4240.2936226749334</v>
      </c>
      <c r="O274" s="324">
        <v>4226.3649247121348</v>
      </c>
      <c r="P274" s="260">
        <v>887</v>
      </c>
      <c r="Q274" s="260" t="s">
        <v>292</v>
      </c>
      <c r="Z274" s="430"/>
    </row>
    <row r="275" spans="1:26" x14ac:dyDescent="0.2">
      <c r="A275" s="154" t="s">
        <v>293</v>
      </c>
      <c r="B275" s="342">
        <v>2556</v>
      </c>
      <c r="C275" s="342">
        <v>2523</v>
      </c>
      <c r="D275" s="342">
        <v>2491</v>
      </c>
      <c r="E275" s="319">
        <v>2466</v>
      </c>
      <c r="F275" s="324">
        <v>2427.845276872964</v>
      </c>
      <c r="G275" s="325">
        <v>2389.6905537459279</v>
      </c>
      <c r="H275" s="325">
        <v>2353.5439739413678</v>
      </c>
      <c r="I275" s="325">
        <v>2319.4055374592831</v>
      </c>
      <c r="J275" s="325">
        <v>2287.2752442996739</v>
      </c>
      <c r="K275" s="325">
        <v>2255.1449511400647</v>
      </c>
      <c r="L275" s="324">
        <v>2225.0228013029309</v>
      </c>
      <c r="M275" s="324">
        <v>2195.9047231270351</v>
      </c>
      <c r="N275" s="324">
        <v>2170.8029315960903</v>
      </c>
      <c r="O275" s="324">
        <v>2146.7052117263834</v>
      </c>
      <c r="P275" s="260">
        <v>889</v>
      </c>
      <c r="Q275" s="260" t="s">
        <v>293</v>
      </c>
      <c r="Z275" s="430"/>
    </row>
    <row r="276" spans="1:26" x14ac:dyDescent="0.2">
      <c r="A276" s="154" t="s">
        <v>294</v>
      </c>
      <c r="B276" s="342">
        <v>1218</v>
      </c>
      <c r="C276" s="342">
        <v>1180</v>
      </c>
      <c r="D276" s="342">
        <v>1139</v>
      </c>
      <c r="E276" s="319">
        <v>1137</v>
      </c>
      <c r="F276" s="324">
        <v>1104.7520585544373</v>
      </c>
      <c r="G276" s="325">
        <v>1080.8261665141811</v>
      </c>
      <c r="H276" s="325">
        <v>1066.2625800548947</v>
      </c>
      <c r="I276" s="325">
        <v>1053.7795059469349</v>
      </c>
      <c r="J276" s="325">
        <v>1048.5782250686184</v>
      </c>
      <c r="K276" s="325">
        <v>1044.4172003659651</v>
      </c>
      <c r="L276" s="324">
        <v>1041.2964318389752</v>
      </c>
      <c r="M276" s="324">
        <v>1038.1756633119853</v>
      </c>
      <c r="N276" s="324">
        <v>1038.1756633119853</v>
      </c>
      <c r="O276" s="324">
        <v>1039.2159194876488</v>
      </c>
      <c r="P276" s="260">
        <v>890</v>
      </c>
      <c r="Q276" s="260" t="s">
        <v>294</v>
      </c>
      <c r="Z276" s="430"/>
    </row>
    <row r="277" spans="1:26" x14ac:dyDescent="0.2">
      <c r="A277" s="154" t="s">
        <v>295</v>
      </c>
      <c r="B277" s="342">
        <v>3901</v>
      </c>
      <c r="C277" s="342">
        <v>3592</v>
      </c>
      <c r="D277" s="342">
        <v>3615</v>
      </c>
      <c r="E277" s="319">
        <v>3657</v>
      </c>
      <c r="F277" s="324">
        <v>3637.7098833981122</v>
      </c>
      <c r="G277" s="325">
        <v>3614.3586896168795</v>
      </c>
      <c r="H277" s="325">
        <v>3584.9158800666296</v>
      </c>
      <c r="I277" s="325">
        <v>3552.4272626318711</v>
      </c>
      <c r="J277" s="325">
        <v>3519.9386451971127</v>
      </c>
      <c r="K277" s="325">
        <v>3488.4652970571906</v>
      </c>
      <c r="L277" s="324">
        <v>3460.037756801777</v>
      </c>
      <c r="M277" s="324">
        <v>3432.6254858411994</v>
      </c>
      <c r="N277" s="324">
        <v>3408.2590227651308</v>
      </c>
      <c r="O277" s="324">
        <v>3387.9536368684066</v>
      </c>
      <c r="P277" s="260">
        <v>892</v>
      </c>
      <c r="Q277" s="260" t="s">
        <v>295</v>
      </c>
      <c r="Z277" s="430"/>
    </row>
    <row r="278" spans="1:26" x14ac:dyDescent="0.2">
      <c r="A278" s="154" t="s">
        <v>296</v>
      </c>
      <c r="B278" s="342">
        <v>7397</v>
      </c>
      <c r="C278" s="342">
        <v>7434</v>
      </c>
      <c r="D278" s="342">
        <v>7500</v>
      </c>
      <c r="E278" s="319">
        <v>7439</v>
      </c>
      <c r="F278" s="324">
        <v>7455.7767312284432</v>
      </c>
      <c r="G278" s="325">
        <v>7458.7373308569922</v>
      </c>
      <c r="H278" s="325">
        <v>7455.7767312284441</v>
      </c>
      <c r="I278" s="325">
        <v>7448.8686654284975</v>
      </c>
      <c r="J278" s="325">
        <v>7442.9474661714003</v>
      </c>
      <c r="K278" s="325">
        <v>7438.0131334571524</v>
      </c>
      <c r="L278" s="324">
        <v>7432.0919342000552</v>
      </c>
      <c r="M278" s="324">
        <v>7427.1576014858074</v>
      </c>
      <c r="N278" s="324">
        <v>7424.1970018572592</v>
      </c>
      <c r="O278" s="324">
        <v>7418.275802600162</v>
      </c>
      <c r="P278" s="260">
        <v>893</v>
      </c>
      <c r="Q278" s="260" t="s">
        <v>296</v>
      </c>
      <c r="Z278" s="430"/>
    </row>
    <row r="279" spans="1:26" x14ac:dyDescent="0.2">
      <c r="A279" s="154" t="s">
        <v>297</v>
      </c>
      <c r="B279" s="342">
        <v>15633</v>
      </c>
      <c r="C279" s="342">
        <v>15092</v>
      </c>
      <c r="D279" s="342">
        <v>14938</v>
      </c>
      <c r="E279" s="319">
        <v>14814</v>
      </c>
      <c r="F279" s="324">
        <v>14669.883259019052</v>
      </c>
      <c r="G279" s="325">
        <v>14518.760843129307</v>
      </c>
      <c r="H279" s="325">
        <v>14373.643291447101</v>
      </c>
      <c r="I279" s="325">
        <v>14240.535468179974</v>
      </c>
      <c r="J279" s="325">
        <v>14113.432509120388</v>
      </c>
      <c r="K279" s="325">
        <v>13991.333603567084</v>
      </c>
      <c r="L279" s="324">
        <v>13879.242805026346</v>
      </c>
      <c r="M279" s="324">
        <v>13772.15605999189</v>
      </c>
      <c r="N279" s="324">
        <v>13672.074989866231</v>
      </c>
      <c r="O279" s="324">
        <v>13580.000405350624</v>
      </c>
      <c r="P279" s="260">
        <v>895</v>
      </c>
      <c r="Q279" s="260" t="s">
        <v>297</v>
      </c>
      <c r="Z279" s="430"/>
    </row>
    <row r="280" spans="1:26" x14ac:dyDescent="0.2">
      <c r="A280" s="154" t="s">
        <v>24</v>
      </c>
      <c r="B280" s="342">
        <v>2678</v>
      </c>
      <c r="C280" s="342">
        <v>2626</v>
      </c>
      <c r="D280" s="342">
        <v>2589</v>
      </c>
      <c r="E280" s="319">
        <v>2581</v>
      </c>
      <c r="F280" s="324">
        <v>2530.1328340559717</v>
      </c>
      <c r="G280" s="325">
        <v>2483.3350413874655</v>
      </c>
      <c r="H280" s="325">
        <v>2437.5545920378399</v>
      </c>
      <c r="I280" s="325">
        <v>2393.8088293259752</v>
      </c>
      <c r="J280" s="325">
        <v>2357.1844698462751</v>
      </c>
      <c r="K280" s="325">
        <v>2319.5427670476943</v>
      </c>
      <c r="L280" s="324">
        <v>2285.9704375246356</v>
      </c>
      <c r="M280" s="324">
        <v>2253.4154513204576</v>
      </c>
      <c r="N280" s="324">
        <v>2221.8778084351602</v>
      </c>
      <c r="O280" s="324">
        <v>2193.3921955065043</v>
      </c>
      <c r="P280" s="260">
        <v>785</v>
      </c>
      <c r="Q280" s="260" t="s">
        <v>24</v>
      </c>
      <c r="Z280" s="430"/>
    </row>
    <row r="281" spans="1:26" x14ac:dyDescent="0.2">
      <c r="A281" s="154" t="s">
        <v>298</v>
      </c>
      <c r="B281" s="342">
        <v>68012</v>
      </c>
      <c r="C281" s="342">
        <v>67988</v>
      </c>
      <c r="D281" s="342">
        <v>68956</v>
      </c>
      <c r="E281" s="319">
        <v>70361</v>
      </c>
      <c r="F281" s="324">
        <v>70872.437030439731</v>
      </c>
      <c r="G281" s="325">
        <v>71274.713587979262</v>
      </c>
      <c r="H281" s="325">
        <v>71682.043871116024</v>
      </c>
      <c r="I281" s="325">
        <v>72088.363409133352</v>
      </c>
      <c r="J281" s="325">
        <v>72486.596986195116</v>
      </c>
      <c r="K281" s="325">
        <v>72866.637151106843</v>
      </c>
      <c r="L281" s="324">
        <v>73223.430178271301</v>
      </c>
      <c r="M281" s="324">
        <v>73548.890106732943</v>
      </c>
      <c r="N281" s="324">
        <v>73851.102897447316</v>
      </c>
      <c r="O281" s="324">
        <v>74124.004079697756</v>
      </c>
      <c r="P281" s="260">
        <v>905</v>
      </c>
      <c r="Q281" s="260" t="s">
        <v>298</v>
      </c>
      <c r="Z281" s="430"/>
    </row>
    <row r="282" spans="1:26" x14ac:dyDescent="0.2">
      <c r="A282" s="154" t="s">
        <v>299</v>
      </c>
      <c r="B282" s="342">
        <v>21028</v>
      </c>
      <c r="C282" s="342">
        <v>20703</v>
      </c>
      <c r="D282" s="342">
        <v>20694</v>
      </c>
      <c r="E282" s="319">
        <v>20847</v>
      </c>
      <c r="F282" s="324">
        <v>20760.078541646464</v>
      </c>
      <c r="G282" s="325">
        <v>20664.06065160477</v>
      </c>
      <c r="H282" s="325">
        <v>20571.074905459129</v>
      </c>
      <c r="I282" s="325">
        <v>20476.06773004945</v>
      </c>
      <c r="J282" s="325">
        <v>20389.146271695914</v>
      </c>
      <c r="K282" s="325">
        <v>20306.267671870453</v>
      </c>
      <c r="L282" s="324">
        <v>20230.464074469113</v>
      </c>
      <c r="M282" s="324">
        <v>20161.735479491901</v>
      </c>
      <c r="N282" s="324">
        <v>20102.103316202847</v>
      </c>
      <c r="O282" s="324">
        <v>20048.535440705902</v>
      </c>
      <c r="P282" s="260">
        <v>908</v>
      </c>
      <c r="Q282" s="260" t="s">
        <v>299</v>
      </c>
      <c r="Z282" s="430"/>
    </row>
    <row r="283" spans="1:26" x14ac:dyDescent="0.2">
      <c r="A283" s="154" t="s">
        <v>300</v>
      </c>
      <c r="B283" s="342">
        <v>238213</v>
      </c>
      <c r="C283" s="342">
        <v>242819</v>
      </c>
      <c r="D283" s="342">
        <v>247443</v>
      </c>
      <c r="E283" s="319">
        <v>251269</v>
      </c>
      <c r="F283" s="324">
        <v>255943.47628689848</v>
      </c>
      <c r="G283" s="325">
        <v>260081.34177555607</v>
      </c>
      <c r="H283" s="325">
        <v>264091.01690685609</v>
      </c>
      <c r="I283" s="325">
        <v>267983.43264150346</v>
      </c>
      <c r="J283" s="325">
        <v>271764.55132170086</v>
      </c>
      <c r="K283" s="325">
        <v>275442.32273705193</v>
      </c>
      <c r="L283" s="324">
        <v>279017.74061125703</v>
      </c>
      <c r="M283" s="324">
        <v>282494.77983911795</v>
      </c>
      <c r="N283" s="324">
        <v>285876.42159173609</v>
      </c>
      <c r="O283" s="324">
        <v>289159.68469801004</v>
      </c>
      <c r="P283" s="260">
        <v>92</v>
      </c>
      <c r="Q283" s="260" t="s">
        <v>300</v>
      </c>
      <c r="Z283" s="430"/>
    </row>
    <row r="284" spans="1:26" x14ac:dyDescent="0.2">
      <c r="A284" s="154" t="s">
        <v>301</v>
      </c>
      <c r="B284" s="342">
        <v>20041</v>
      </c>
      <c r="C284" s="342">
        <v>19759</v>
      </c>
      <c r="D284" s="342">
        <v>19727</v>
      </c>
      <c r="E284" s="319">
        <v>19669</v>
      </c>
      <c r="F284" s="324">
        <v>19445.007079101262</v>
      </c>
      <c r="G284" s="325">
        <v>19228.076998050685</v>
      </c>
      <c r="H284" s="325">
        <v>19025.272596696421</v>
      </c>
      <c r="I284" s="325">
        <v>18837.602852159638</v>
      </c>
      <c r="J284" s="325">
        <v>18653.96901610752</v>
      </c>
      <c r="K284" s="325">
        <v>18480.424951267054</v>
      </c>
      <c r="L284" s="324">
        <v>18323.024520365238</v>
      </c>
      <c r="M284" s="324">
        <v>18168.651020826917</v>
      </c>
      <c r="N284" s="324">
        <v>18022.349338257922</v>
      </c>
      <c r="O284" s="324">
        <v>17882.101518415919</v>
      </c>
      <c r="P284" s="260">
        <v>915</v>
      </c>
      <c r="Q284" s="260" t="s">
        <v>301</v>
      </c>
      <c r="Z284" s="430"/>
    </row>
    <row r="285" spans="1:26" x14ac:dyDescent="0.2">
      <c r="A285" s="154" t="s">
        <v>302</v>
      </c>
      <c r="B285" s="342">
        <v>2249</v>
      </c>
      <c r="C285" s="342">
        <v>2228</v>
      </c>
      <c r="D285" s="342">
        <v>2245</v>
      </c>
      <c r="E285" s="319">
        <v>2246</v>
      </c>
      <c r="F285" s="324">
        <v>2238.9749776586236</v>
      </c>
      <c r="G285" s="325">
        <v>2233.9571045576404</v>
      </c>
      <c r="H285" s="325">
        <v>2228.9392314566576</v>
      </c>
      <c r="I285" s="325">
        <v>2223.9213583556743</v>
      </c>
      <c r="J285" s="325">
        <v>2221.9142091152812</v>
      </c>
      <c r="K285" s="325">
        <v>2219.9070598748881</v>
      </c>
      <c r="L285" s="324">
        <v>2218.9034852546915</v>
      </c>
      <c r="M285" s="324">
        <v>2217.899910634495</v>
      </c>
      <c r="N285" s="324">
        <v>2218.9034852546915</v>
      </c>
      <c r="O285" s="324">
        <v>2218.9034852546915</v>
      </c>
      <c r="P285" s="260">
        <v>918</v>
      </c>
      <c r="Q285" s="260" t="s">
        <v>302</v>
      </c>
      <c r="Z285" s="430"/>
    </row>
    <row r="286" spans="1:26" x14ac:dyDescent="0.2">
      <c r="A286" s="154" t="s">
        <v>303</v>
      </c>
      <c r="B286" s="342">
        <v>1926</v>
      </c>
      <c r="C286" s="342">
        <v>1894</v>
      </c>
      <c r="D286" s="342">
        <v>1895</v>
      </c>
      <c r="E286" s="319">
        <v>1851</v>
      </c>
      <c r="F286" s="324">
        <v>1825.209003215434</v>
      </c>
      <c r="G286" s="325">
        <v>1799.4180064308682</v>
      </c>
      <c r="H286" s="325">
        <v>1773.6270096463022</v>
      </c>
      <c r="I286" s="325">
        <v>1749.8199356913183</v>
      </c>
      <c r="J286" s="325">
        <v>1729.9807073954985</v>
      </c>
      <c r="K286" s="325">
        <v>1707.1655948553055</v>
      </c>
      <c r="L286" s="324">
        <v>1689.3102893890675</v>
      </c>
      <c r="M286" s="324">
        <v>1670.4630225080384</v>
      </c>
      <c r="N286" s="324">
        <v>1654.5916398713823</v>
      </c>
      <c r="O286" s="324">
        <v>1636.7363344051444</v>
      </c>
      <c r="P286" s="260">
        <v>921</v>
      </c>
      <c r="Q286" s="260" t="s">
        <v>303</v>
      </c>
      <c r="Z286" s="430"/>
    </row>
    <row r="287" spans="1:26" x14ac:dyDescent="0.2">
      <c r="A287" s="154" t="s">
        <v>304</v>
      </c>
      <c r="B287" s="342">
        <v>4350</v>
      </c>
      <c r="C287" s="342">
        <v>4501</v>
      </c>
      <c r="D287" s="342">
        <v>4469</v>
      </c>
      <c r="E287" s="319">
        <v>4511</v>
      </c>
      <c r="F287" s="324">
        <v>4522.0761160714283</v>
      </c>
      <c r="G287" s="325">
        <v>4534.1591517857132</v>
      </c>
      <c r="H287" s="325">
        <v>4547.2491071428567</v>
      </c>
      <c r="I287" s="325">
        <v>4560.3390625000002</v>
      </c>
      <c r="J287" s="325">
        <v>4573.4290178571428</v>
      </c>
      <c r="K287" s="325">
        <v>4586.5189732142853</v>
      </c>
      <c r="L287" s="324">
        <v>4602.6296874999989</v>
      </c>
      <c r="M287" s="324">
        <v>4621.7611607142844</v>
      </c>
      <c r="N287" s="324">
        <v>4643.9133928571409</v>
      </c>
      <c r="O287" s="324">
        <v>4668.0794642857118</v>
      </c>
      <c r="P287" s="260">
        <v>922</v>
      </c>
      <c r="Q287" s="260" t="s">
        <v>304</v>
      </c>
      <c r="Z287" s="430"/>
    </row>
    <row r="288" spans="1:26" x14ac:dyDescent="0.2">
      <c r="A288" s="154" t="s">
        <v>305</v>
      </c>
      <c r="B288" s="342">
        <v>3057</v>
      </c>
      <c r="C288" s="342">
        <v>2946</v>
      </c>
      <c r="D288" s="342">
        <v>2936</v>
      </c>
      <c r="E288" s="319">
        <v>2931</v>
      </c>
      <c r="F288" s="324">
        <v>2890.5165745856352</v>
      </c>
      <c r="G288" s="325">
        <v>2852.0573204419888</v>
      </c>
      <c r="H288" s="325">
        <v>2812.5859806629833</v>
      </c>
      <c r="I288" s="325">
        <v>2775.1388121546961</v>
      </c>
      <c r="J288" s="325">
        <v>2737.6916436464085</v>
      </c>
      <c r="K288" s="325">
        <v>2701.25656077348</v>
      </c>
      <c r="L288" s="324">
        <v>2668.8698204419884</v>
      </c>
      <c r="M288" s="324">
        <v>2636.4830801104968</v>
      </c>
      <c r="N288" s="324">
        <v>2608.1446823204415</v>
      </c>
      <c r="O288" s="324">
        <v>2580.8183701657454</v>
      </c>
      <c r="P288" s="260">
        <v>924</v>
      </c>
      <c r="Q288" s="260" t="s">
        <v>305</v>
      </c>
      <c r="Z288" s="430"/>
    </row>
    <row r="289" spans="1:28" x14ac:dyDescent="0.2">
      <c r="A289" s="154" t="s">
        <v>306</v>
      </c>
      <c r="B289" s="342">
        <v>3572</v>
      </c>
      <c r="C289" s="342">
        <v>3427</v>
      </c>
      <c r="D289" s="342">
        <v>3387</v>
      </c>
      <c r="E289" s="319">
        <v>3352</v>
      </c>
      <c r="F289" s="324">
        <v>3300.6784749324529</v>
      </c>
      <c r="G289" s="325">
        <v>3250.3632542779947</v>
      </c>
      <c r="H289" s="325">
        <v>3205.0795556889821</v>
      </c>
      <c r="I289" s="325">
        <v>3158.7895526868806</v>
      </c>
      <c r="J289" s="325">
        <v>3113.5058540978685</v>
      </c>
      <c r="K289" s="325">
        <v>3068.2221555088563</v>
      </c>
      <c r="L289" s="324">
        <v>3024.9510657460223</v>
      </c>
      <c r="M289" s="324">
        <v>2985.7051936355451</v>
      </c>
      <c r="N289" s="324">
        <v>2949.4782347643354</v>
      </c>
      <c r="O289" s="324">
        <v>2916.2701891323932</v>
      </c>
      <c r="P289" s="260">
        <v>925</v>
      </c>
      <c r="Q289" s="260" t="s">
        <v>306</v>
      </c>
      <c r="Z289" s="430"/>
    </row>
    <row r="290" spans="1:28" x14ac:dyDescent="0.2">
      <c r="A290" s="154" t="s">
        <v>307</v>
      </c>
      <c r="B290" s="342">
        <v>29288</v>
      </c>
      <c r="C290" s="342">
        <v>28913</v>
      </c>
      <c r="D290" s="342">
        <v>28811</v>
      </c>
      <c r="E290" s="319">
        <v>28799</v>
      </c>
      <c r="F290" s="324">
        <v>28729.829469507102</v>
      </c>
      <c r="G290" s="325">
        <v>28662.663881927041</v>
      </c>
      <c r="H290" s="325">
        <v>28616.550194931773</v>
      </c>
      <c r="I290" s="325">
        <v>28583.468636869951</v>
      </c>
      <c r="J290" s="325">
        <v>28564.421679197996</v>
      </c>
      <c r="K290" s="325">
        <v>28558.406850459483</v>
      </c>
      <c r="L290" s="324">
        <v>28571.438979392926</v>
      </c>
      <c r="M290" s="324">
        <v>28602.51559454191</v>
      </c>
      <c r="N290" s="324">
        <v>28649.631752993595</v>
      </c>
      <c r="O290" s="324">
        <v>28712.787454747981</v>
      </c>
      <c r="P290" s="260">
        <v>927</v>
      </c>
      <c r="Q290" s="260" t="s">
        <v>307</v>
      </c>
      <c r="Z290" s="430"/>
    </row>
    <row r="291" spans="1:28" x14ac:dyDescent="0.2">
      <c r="A291" s="154" t="s">
        <v>308</v>
      </c>
      <c r="B291" s="342">
        <v>5888</v>
      </c>
      <c r="C291" s="342">
        <v>5951</v>
      </c>
      <c r="D291" s="342">
        <v>5877</v>
      </c>
      <c r="E291" s="319">
        <v>5764</v>
      </c>
      <c r="F291" s="324">
        <v>5681.3584384176884</v>
      </c>
      <c r="G291" s="325">
        <v>5601.7039212299187</v>
      </c>
      <c r="H291" s="325">
        <v>5530.0148557609264</v>
      </c>
      <c r="I291" s="325">
        <v>5464.2998790810161</v>
      </c>
      <c r="J291" s="325">
        <v>5398.5849024011059</v>
      </c>
      <c r="K291" s="325">
        <v>5335.8569701157376</v>
      </c>
      <c r="L291" s="324">
        <v>5282.0901710139933</v>
      </c>
      <c r="M291" s="324">
        <v>5229.3190533770958</v>
      </c>
      <c r="N291" s="324">
        <v>5178.5392986698926</v>
      </c>
      <c r="O291" s="324">
        <v>5131.742269822078</v>
      </c>
      <c r="P291" s="260">
        <v>931</v>
      </c>
      <c r="Q291" s="260" t="s">
        <v>308</v>
      </c>
      <c r="Z291" s="430"/>
    </row>
    <row r="292" spans="1:28" x14ac:dyDescent="0.2">
      <c r="A292" s="154" t="s">
        <v>309</v>
      </c>
      <c r="B292" s="342">
        <v>2738</v>
      </c>
      <c r="C292" s="342">
        <v>2671</v>
      </c>
      <c r="D292" s="342">
        <v>2656</v>
      </c>
      <c r="E292" s="319">
        <v>2607</v>
      </c>
      <c r="F292" s="324">
        <v>2563.1178270849273</v>
      </c>
      <c r="G292" s="325">
        <v>2524.2222647283857</v>
      </c>
      <c r="H292" s="325">
        <v>2486.3240244835501</v>
      </c>
      <c r="I292" s="325">
        <v>2448.4257842387146</v>
      </c>
      <c r="J292" s="325">
        <v>2411.5248661055853</v>
      </c>
      <c r="K292" s="325">
        <v>2376.6185921958686</v>
      </c>
      <c r="L292" s="324">
        <v>2343.7069625095642</v>
      </c>
      <c r="M292" s="324">
        <v>2309.7980107115536</v>
      </c>
      <c r="N292" s="324">
        <v>2280.8756694720742</v>
      </c>
      <c r="O292" s="324">
        <v>2253.9479724560069</v>
      </c>
      <c r="P292" s="260">
        <v>934</v>
      </c>
      <c r="Q292" s="260" t="s">
        <v>309</v>
      </c>
      <c r="Z292" s="430"/>
    </row>
    <row r="293" spans="1:28" x14ac:dyDescent="0.2">
      <c r="A293" s="154" t="s">
        <v>310</v>
      </c>
      <c r="B293" s="342">
        <v>2998</v>
      </c>
      <c r="C293" s="342">
        <v>2985</v>
      </c>
      <c r="D293" s="342">
        <v>2927</v>
      </c>
      <c r="E293" s="319">
        <v>2831</v>
      </c>
      <c r="F293" s="324">
        <v>2791.7214706902532</v>
      </c>
      <c r="G293" s="325">
        <v>2752.4429413805065</v>
      </c>
      <c r="H293" s="325">
        <v>2717.0922650017342</v>
      </c>
      <c r="I293" s="325">
        <v>2683.7055150884494</v>
      </c>
      <c r="J293" s="325">
        <v>2646.3909122441901</v>
      </c>
      <c r="K293" s="325">
        <v>2613.0041623309053</v>
      </c>
      <c r="L293" s="324">
        <v>2581.5813388831079</v>
      </c>
      <c r="M293" s="324">
        <v>2553.1044051335416</v>
      </c>
      <c r="N293" s="324">
        <v>2524.6274713839753</v>
      </c>
      <c r="O293" s="324">
        <v>2500.0783905653834</v>
      </c>
      <c r="P293" s="260">
        <v>935</v>
      </c>
      <c r="Q293" s="260" t="s">
        <v>310</v>
      </c>
      <c r="Z293" s="430"/>
    </row>
    <row r="294" spans="1:28" x14ac:dyDescent="0.2">
      <c r="A294" s="154" t="s">
        <v>311</v>
      </c>
      <c r="B294" s="342">
        <v>6402</v>
      </c>
      <c r="C294" s="342">
        <v>6395</v>
      </c>
      <c r="D294" s="342">
        <v>6275</v>
      </c>
      <c r="E294" s="319">
        <v>6190</v>
      </c>
      <c r="F294" s="324">
        <v>6106.0135680827007</v>
      </c>
      <c r="G294" s="325">
        <v>6024.0268131158127</v>
      </c>
      <c r="H294" s="325">
        <v>5947.0392505249556</v>
      </c>
      <c r="I294" s="325">
        <v>5876.0507187853336</v>
      </c>
      <c r="J294" s="325">
        <v>5810.0613794217415</v>
      </c>
      <c r="K294" s="325">
        <v>5747.071555483767</v>
      </c>
      <c r="L294" s="324">
        <v>5688.0810854466163</v>
      </c>
      <c r="M294" s="324">
        <v>5635.0896462607016</v>
      </c>
      <c r="N294" s="324">
        <v>5585.0977225004044</v>
      </c>
      <c r="O294" s="324">
        <v>5540.1049911161372</v>
      </c>
      <c r="P294" s="260">
        <v>936</v>
      </c>
      <c r="Q294" s="260" t="s">
        <v>311</v>
      </c>
      <c r="Z294" s="430"/>
    </row>
    <row r="295" spans="1:28" s="268" customFormat="1" x14ac:dyDescent="0.2">
      <c r="A295" s="265" t="s">
        <v>379</v>
      </c>
      <c r="B295" s="323">
        <v>6540</v>
      </c>
      <c r="C295" s="323">
        <v>6287</v>
      </c>
      <c r="D295" s="323">
        <v>6291</v>
      </c>
      <c r="E295" s="320">
        <v>6210</v>
      </c>
      <c r="F295" s="324">
        <v>6150.2693170888106</v>
      </c>
      <c r="G295" s="325">
        <v>6080.5835203590896</v>
      </c>
      <c r="H295" s="325">
        <v>6013.8842577749274</v>
      </c>
      <c r="I295" s="325">
        <v>5947.1849951907661</v>
      </c>
      <c r="J295" s="325">
        <v>5885.4632895158702</v>
      </c>
      <c r="K295" s="325">
        <v>5826.728117986534</v>
      </c>
      <c r="L295" s="324">
        <v>5771.9749919846099</v>
      </c>
      <c r="M295" s="324">
        <v>5722.1994228919521</v>
      </c>
      <c r="N295" s="324">
        <v>5673.4193651811474</v>
      </c>
      <c r="O295" s="324">
        <v>5627.6258416159026</v>
      </c>
      <c r="P295" s="260">
        <v>946</v>
      </c>
      <c r="Q295" s="260" t="s">
        <v>410</v>
      </c>
      <c r="R295" s="348"/>
      <c r="S295" s="348"/>
      <c r="T295" s="348"/>
      <c r="U295" s="348"/>
      <c r="V295" s="348"/>
      <c r="W295" s="348"/>
      <c r="X295" s="348"/>
      <c r="Y295" s="348"/>
      <c r="Z295" s="430"/>
      <c r="AA295" s="348"/>
      <c r="AB295" s="348"/>
    </row>
    <row r="296" spans="1:28" x14ac:dyDescent="0.2">
      <c r="A296" s="154" t="s">
        <v>312</v>
      </c>
      <c r="B296" s="342">
        <v>3763</v>
      </c>
      <c r="C296" s="342">
        <v>3788</v>
      </c>
      <c r="D296" s="342">
        <v>3765</v>
      </c>
      <c r="E296" s="319">
        <v>3721</v>
      </c>
      <c r="F296" s="324">
        <v>3680.0110155830198</v>
      </c>
      <c r="G296" s="325">
        <v>3638.0222998387962</v>
      </c>
      <c r="H296" s="325">
        <v>3599.0327780763032</v>
      </c>
      <c r="I296" s="325">
        <v>3561.0429876410535</v>
      </c>
      <c r="J296" s="325">
        <v>3524.0529285330472</v>
      </c>
      <c r="K296" s="325">
        <v>3491.0617947340147</v>
      </c>
      <c r="L296" s="324">
        <v>3460.0701235894689</v>
      </c>
      <c r="M296" s="324">
        <v>3434.0771090811404</v>
      </c>
      <c r="N296" s="324">
        <v>3407.0843632455685</v>
      </c>
      <c r="O296" s="324">
        <v>3385.0902740462134</v>
      </c>
      <c r="P296" s="260">
        <v>976</v>
      </c>
      <c r="Q296" s="260" t="s">
        <v>312</v>
      </c>
      <c r="Z296" s="430"/>
    </row>
    <row r="297" spans="1:28" x14ac:dyDescent="0.2">
      <c r="A297" s="154" t="s">
        <v>313</v>
      </c>
      <c r="B297" s="342">
        <v>15341</v>
      </c>
      <c r="C297" s="342">
        <v>15293</v>
      </c>
      <c r="D297" s="342">
        <v>15369</v>
      </c>
      <c r="E297" s="319">
        <v>15406</v>
      </c>
      <c r="F297" s="324">
        <v>15435.009414973052</v>
      </c>
      <c r="G297" s="325">
        <v>15458.016882020645</v>
      </c>
      <c r="H297" s="325">
        <v>15472.021427180049</v>
      </c>
      <c r="I297" s="325">
        <v>15478.023375105509</v>
      </c>
      <c r="J297" s="325">
        <v>15481.024349068239</v>
      </c>
      <c r="K297" s="325">
        <v>15477.023050451266</v>
      </c>
      <c r="L297" s="324">
        <v>15471.021102525807</v>
      </c>
      <c r="M297" s="324">
        <v>15459.017206674889</v>
      </c>
      <c r="N297" s="324">
        <v>15438.010388935782</v>
      </c>
      <c r="O297" s="324">
        <v>15419.004220505161</v>
      </c>
      <c r="P297" s="260">
        <v>977</v>
      </c>
      <c r="Q297" s="260" t="s">
        <v>313</v>
      </c>
      <c r="Z297" s="430"/>
    </row>
    <row r="298" spans="1:28" x14ac:dyDescent="0.2">
      <c r="A298" s="154" t="s">
        <v>314</v>
      </c>
      <c r="B298" s="342">
        <v>33499</v>
      </c>
      <c r="C298" s="342">
        <v>33607</v>
      </c>
      <c r="D298" s="342">
        <v>33677</v>
      </c>
      <c r="E298" s="319">
        <v>33704</v>
      </c>
      <c r="F298" s="324">
        <v>33812.729016218778</v>
      </c>
      <c r="G298" s="325">
        <v>33916.470462886238</v>
      </c>
      <c r="H298" s="325">
        <v>34013.229312181851</v>
      </c>
      <c r="I298" s="325">
        <v>34102.008050195349</v>
      </c>
      <c r="J298" s="325">
        <v>34187.79424647805</v>
      </c>
      <c r="K298" s="325">
        <v>34275.57547058128</v>
      </c>
      <c r="L298" s="324">
        <v>34365.351722505038</v>
      </c>
      <c r="M298" s="324">
        <v>34467.098141351962</v>
      </c>
      <c r="N298" s="324">
        <v>34579.817213211791</v>
      </c>
      <c r="O298" s="324">
        <v>34704.506451994792</v>
      </c>
      <c r="P298" s="260">
        <v>980</v>
      </c>
      <c r="Q298" s="260" t="s">
        <v>314</v>
      </c>
      <c r="Z298" s="430"/>
    </row>
    <row r="299" spans="1:28" x14ac:dyDescent="0.2">
      <c r="A299" s="154" t="s">
        <v>315</v>
      </c>
      <c r="B299" s="342">
        <v>2286</v>
      </c>
      <c r="C299" s="342">
        <v>2237</v>
      </c>
      <c r="D299" s="342">
        <v>2207</v>
      </c>
      <c r="E299" s="319">
        <v>2193</v>
      </c>
      <c r="F299" s="324">
        <v>2163.7061262091202</v>
      </c>
      <c r="G299" s="325">
        <v>2135.4223859972362</v>
      </c>
      <c r="H299" s="325">
        <v>2111.1791801013355</v>
      </c>
      <c r="I299" s="325">
        <v>2089.9663749424226</v>
      </c>
      <c r="J299" s="325">
        <v>2072.7941040994929</v>
      </c>
      <c r="K299" s="325">
        <v>2056.6319668355591</v>
      </c>
      <c r="L299" s="324">
        <v>2042.4900967296171</v>
      </c>
      <c r="M299" s="324">
        <v>2030.368493781667</v>
      </c>
      <c r="N299" s="324">
        <v>2021.2772915707044</v>
      </c>
      <c r="O299" s="324">
        <v>2011.1759557807459</v>
      </c>
      <c r="P299" s="260">
        <v>981</v>
      </c>
      <c r="Q299" s="260" t="s">
        <v>315</v>
      </c>
      <c r="Z299" s="430"/>
    </row>
    <row r="300" spans="1:28" x14ac:dyDescent="0.2">
      <c r="A300" s="154" t="s">
        <v>316</v>
      </c>
      <c r="B300" s="342">
        <v>5369</v>
      </c>
      <c r="C300" s="342">
        <v>5406</v>
      </c>
      <c r="D300" s="342">
        <v>5316</v>
      </c>
      <c r="E300" s="319">
        <v>5220</v>
      </c>
      <c r="F300" s="324">
        <v>5145.2577319587635</v>
      </c>
      <c r="G300" s="325">
        <v>5071.5120274914098</v>
      </c>
      <c r="H300" s="325">
        <v>4999.7594501718222</v>
      </c>
      <c r="I300" s="325">
        <v>4931.9931271477672</v>
      </c>
      <c r="J300" s="325">
        <v>4870.2061855670117</v>
      </c>
      <c r="K300" s="325">
        <v>4813.4020618556715</v>
      </c>
      <c r="L300" s="324">
        <v>4759.5876288659811</v>
      </c>
      <c r="M300" s="324">
        <v>4709.7594501718231</v>
      </c>
      <c r="N300" s="324">
        <v>4656.9415807560154</v>
      </c>
      <c r="O300" s="324">
        <v>4612.0962199312726</v>
      </c>
      <c r="P300" s="260">
        <v>989</v>
      </c>
      <c r="Q300" s="260" t="s">
        <v>316</v>
      </c>
      <c r="Z300" s="430"/>
    </row>
    <row r="301" spans="1:28" x14ac:dyDescent="0.2">
      <c r="A301" s="154" t="s">
        <v>317</v>
      </c>
      <c r="B301" s="342">
        <v>18065</v>
      </c>
      <c r="C301" s="342">
        <v>18120</v>
      </c>
      <c r="D301" s="342">
        <v>17971</v>
      </c>
      <c r="E301" s="319">
        <v>17740</v>
      </c>
      <c r="F301" s="324">
        <v>17556.496514504161</v>
      </c>
      <c r="G301" s="325">
        <v>17372.993029008321</v>
      </c>
      <c r="H301" s="325">
        <v>17195.47335282213</v>
      </c>
      <c r="I301" s="325">
        <v>17027.926692152014</v>
      </c>
      <c r="J301" s="325">
        <v>16862.374634585114</v>
      </c>
      <c r="K301" s="325">
        <v>16702.806386327862</v>
      </c>
      <c r="L301" s="324">
        <v>16548.22464582865</v>
      </c>
      <c r="M301" s="324">
        <v>16397.63211153587</v>
      </c>
      <c r="N301" s="324">
        <v>16261.001798965597</v>
      </c>
      <c r="O301" s="324">
        <v>16129.357994153364</v>
      </c>
      <c r="P301" s="260">
        <v>992</v>
      </c>
      <c r="Q301" s="260" t="s">
        <v>317</v>
      </c>
      <c r="Z301" s="430"/>
    </row>
    <row r="302" spans="1:28" x14ac:dyDescent="0.2">
      <c r="H302" s="261"/>
    </row>
    <row r="303" spans="1:28" x14ac:dyDescent="0.2">
      <c r="H303" s="261"/>
    </row>
    <row r="304" spans="1:28" x14ac:dyDescent="0.2">
      <c r="A304" s="154"/>
      <c r="B304" s="182"/>
      <c r="D304" s="182"/>
      <c r="E304" s="182"/>
      <c r="F304" s="261"/>
      <c r="G304" s="261"/>
      <c r="H304" s="261"/>
    </row>
  </sheetData>
  <sortState xmlns:xlrd2="http://schemas.microsoft.com/office/spreadsheetml/2017/richdata2" ref="P6:Z300">
    <sortCondition ref="Q6:Q300"/>
  </sortState>
  <phoneticPr fontId="1" type="noConversion"/>
  <pageMargins left="0.75" right="0.75" top="1" bottom="1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2</vt:i4>
      </vt:variant>
    </vt:vector>
  </HeadingPairs>
  <TitlesOfParts>
    <vt:vector size="6" baseType="lpstr">
      <vt:lpstr>selite</vt:lpstr>
      <vt:lpstr>KEHIKKO</vt:lpstr>
      <vt:lpstr>pohjatiedot</vt:lpstr>
      <vt:lpstr>väestöennuste</vt:lpstr>
      <vt:lpstr>KEHIKKO!Tulostusalue</vt:lpstr>
      <vt:lpstr>selite!Tulostusalue</vt:lpstr>
    </vt:vector>
  </TitlesOfParts>
  <Company>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Kunnan talouden laskentakehikko</dc:title>
  <dc:creator>Ville Salonen</dc:creator>
  <cp:lastModifiedBy>Salonen Ville (VM)</cp:lastModifiedBy>
  <cp:lastPrinted>2024-09-27T10:10:20Z</cp:lastPrinted>
  <dcterms:created xsi:type="dcterms:W3CDTF">2007-06-13T09:05:00Z</dcterms:created>
  <dcterms:modified xsi:type="dcterms:W3CDTF">2025-10-09T10:59:56Z</dcterms:modified>
</cp:coreProperties>
</file>