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 tiedostot\VM\KAO\Kuntatalous\Suunnittelukehikko\Kehikko2021\"/>
    </mc:Choice>
  </mc:AlternateContent>
  <bookViews>
    <workbookView xWindow="0" yWindow="0" windowWidth="19200" windowHeight="7050"/>
  </bookViews>
  <sheets>
    <sheet name="selite" sheetId="8" r:id="rId1"/>
    <sheet name="KEHIKKO" sheetId="3" r:id="rId2"/>
    <sheet name="pohjatiedot" sheetId="5" r:id="rId3"/>
    <sheet name="väestöennuste" sheetId="6" r:id="rId4"/>
  </sheets>
  <definedNames>
    <definedName name="_xlnm.Print_Area" localSheetId="1">KEHIKKO!$A$1:$P$129</definedName>
    <definedName name="_xlnm.Print_Area" localSheetId="0">selite!$A$1:$N$72</definedName>
  </definedNames>
  <calcPr calcId="162913"/>
</workbook>
</file>

<file path=xl/calcChain.xml><?xml version="1.0" encoding="utf-8"?>
<calcChain xmlns="http://schemas.openxmlformats.org/spreadsheetml/2006/main">
  <c r="M9" i="6" l="1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258" i="6"/>
  <c r="M259" i="6"/>
  <c r="M260" i="6"/>
  <c r="M261" i="6"/>
  <c r="M262" i="6"/>
  <c r="M263" i="6"/>
  <c r="M264" i="6"/>
  <c r="M265" i="6"/>
  <c r="M266" i="6"/>
  <c r="M267" i="6"/>
  <c r="M268" i="6"/>
  <c r="M269" i="6"/>
  <c r="M270" i="6"/>
  <c r="M271" i="6"/>
  <c r="M272" i="6"/>
  <c r="M273" i="6"/>
  <c r="M274" i="6"/>
  <c r="M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294" i="6"/>
  <c r="M295" i="6"/>
  <c r="M296" i="6"/>
  <c r="M297" i="6"/>
  <c r="M298" i="6"/>
  <c r="M299" i="6"/>
  <c r="M300" i="6"/>
  <c r="M301" i="6"/>
  <c r="M8" i="6"/>
  <c r="F10" i="3" l="1"/>
  <c r="F8" i="3"/>
  <c r="I70" i="3" l="1"/>
  <c r="I75" i="3"/>
  <c r="CP4" i="5" l="1"/>
  <c r="CP5" i="5"/>
  <c r="CP6" i="5"/>
  <c r="CP7" i="5"/>
  <c r="CP8" i="5"/>
  <c r="CP9" i="5"/>
  <c r="CP10" i="5"/>
  <c r="CP11" i="5"/>
  <c r="CP12" i="5"/>
  <c r="CP13" i="5"/>
  <c r="CP14" i="5"/>
  <c r="CP15" i="5"/>
  <c r="CP16" i="5"/>
  <c r="CP17" i="5"/>
  <c r="CP18" i="5"/>
  <c r="CP19" i="5"/>
  <c r="CP20" i="5"/>
  <c r="CP21" i="5"/>
  <c r="CP22" i="5"/>
  <c r="CP23" i="5"/>
  <c r="CP24" i="5"/>
  <c r="CP25" i="5"/>
  <c r="CP26" i="5"/>
  <c r="CP27" i="5"/>
  <c r="CP28" i="5"/>
  <c r="CP29" i="5"/>
  <c r="CP30" i="5"/>
  <c r="CP31" i="5"/>
  <c r="CP32" i="5"/>
  <c r="CP33" i="5"/>
  <c r="CP34" i="5"/>
  <c r="CP35" i="5"/>
  <c r="CP36" i="5"/>
  <c r="CP37" i="5"/>
  <c r="CP38" i="5"/>
  <c r="CP39" i="5"/>
  <c r="CP40" i="5"/>
  <c r="CP41" i="5"/>
  <c r="CP42" i="5"/>
  <c r="CP43" i="5"/>
  <c r="CP44" i="5"/>
  <c r="CP45" i="5"/>
  <c r="CP46" i="5"/>
  <c r="CP47" i="5"/>
  <c r="CP48" i="5"/>
  <c r="CP49" i="5"/>
  <c r="CP50" i="5"/>
  <c r="CP51" i="5"/>
  <c r="CP52" i="5"/>
  <c r="CP53" i="5"/>
  <c r="CP54" i="5"/>
  <c r="CP55" i="5"/>
  <c r="CP56" i="5"/>
  <c r="CP57" i="5"/>
  <c r="CP58" i="5"/>
  <c r="CP59" i="5"/>
  <c r="CP60" i="5"/>
  <c r="CP61" i="5"/>
  <c r="CP62" i="5"/>
  <c r="CP63" i="5"/>
  <c r="CP64" i="5"/>
  <c r="CP65" i="5"/>
  <c r="CP66" i="5"/>
  <c r="CP67" i="5"/>
  <c r="CP68" i="5"/>
  <c r="CP69" i="5"/>
  <c r="CP70" i="5"/>
  <c r="CP71" i="5"/>
  <c r="CP72" i="5"/>
  <c r="CP73" i="5"/>
  <c r="CP74" i="5"/>
  <c r="CP75" i="5"/>
  <c r="CP76" i="5"/>
  <c r="CP77" i="5"/>
  <c r="CP78" i="5"/>
  <c r="CP79" i="5"/>
  <c r="CP80" i="5"/>
  <c r="CP81" i="5"/>
  <c r="CP82" i="5"/>
  <c r="CP83" i="5"/>
  <c r="CP84" i="5"/>
  <c r="CP85" i="5"/>
  <c r="CP86" i="5"/>
  <c r="CP87" i="5"/>
  <c r="CP88" i="5"/>
  <c r="CP89" i="5"/>
  <c r="CP90" i="5"/>
  <c r="CP91" i="5"/>
  <c r="CP92" i="5"/>
  <c r="CP93" i="5"/>
  <c r="CP94" i="5"/>
  <c r="CP95" i="5"/>
  <c r="CP96" i="5"/>
  <c r="CP97" i="5"/>
  <c r="CP98" i="5"/>
  <c r="CP99" i="5"/>
  <c r="CP100" i="5"/>
  <c r="CP101" i="5"/>
  <c r="CP102" i="5"/>
  <c r="CP103" i="5"/>
  <c r="CP104" i="5"/>
  <c r="CP105" i="5"/>
  <c r="CP106" i="5"/>
  <c r="CP107" i="5"/>
  <c r="CP108" i="5"/>
  <c r="CP109" i="5"/>
  <c r="CP110" i="5"/>
  <c r="CP111" i="5"/>
  <c r="CP112" i="5"/>
  <c r="CP113" i="5"/>
  <c r="CP114" i="5"/>
  <c r="CP115" i="5"/>
  <c r="CP116" i="5"/>
  <c r="CP117" i="5"/>
  <c r="CP118" i="5"/>
  <c r="CP119" i="5"/>
  <c r="CP120" i="5"/>
  <c r="CP121" i="5"/>
  <c r="CP122" i="5"/>
  <c r="CP123" i="5"/>
  <c r="CP124" i="5"/>
  <c r="CP125" i="5"/>
  <c r="CP126" i="5"/>
  <c r="CP127" i="5"/>
  <c r="CP128" i="5"/>
  <c r="CP129" i="5"/>
  <c r="CP130" i="5"/>
  <c r="CP131" i="5"/>
  <c r="CP132" i="5"/>
  <c r="CP133" i="5"/>
  <c r="CP134" i="5"/>
  <c r="CP135" i="5"/>
  <c r="CP136" i="5"/>
  <c r="CP137" i="5"/>
  <c r="CP138" i="5"/>
  <c r="CP139" i="5"/>
  <c r="CP140" i="5"/>
  <c r="CP141" i="5"/>
  <c r="CP142" i="5"/>
  <c r="CP143" i="5"/>
  <c r="CP144" i="5"/>
  <c r="CP145" i="5"/>
  <c r="CP146" i="5"/>
  <c r="CP147" i="5"/>
  <c r="CP148" i="5"/>
  <c r="CP149" i="5"/>
  <c r="CP150" i="5"/>
  <c r="CP151" i="5"/>
  <c r="CP152" i="5"/>
  <c r="CP153" i="5"/>
  <c r="CP154" i="5"/>
  <c r="CP155" i="5"/>
  <c r="CP156" i="5"/>
  <c r="CP157" i="5"/>
  <c r="CP158" i="5"/>
  <c r="CP159" i="5"/>
  <c r="CP160" i="5"/>
  <c r="CP161" i="5"/>
  <c r="CP162" i="5"/>
  <c r="CP163" i="5"/>
  <c r="CP164" i="5"/>
  <c r="CP165" i="5"/>
  <c r="CP166" i="5"/>
  <c r="CP167" i="5"/>
  <c r="CP168" i="5"/>
  <c r="CP169" i="5"/>
  <c r="CP170" i="5"/>
  <c r="CP171" i="5"/>
  <c r="CP172" i="5"/>
  <c r="CP173" i="5"/>
  <c r="CP174" i="5"/>
  <c r="CP175" i="5"/>
  <c r="CP176" i="5"/>
  <c r="CP177" i="5"/>
  <c r="CP178" i="5"/>
  <c r="CP179" i="5"/>
  <c r="CP180" i="5"/>
  <c r="CP181" i="5"/>
  <c r="CP182" i="5"/>
  <c r="CP183" i="5"/>
  <c r="CP184" i="5"/>
  <c r="CP185" i="5"/>
  <c r="CP186" i="5"/>
  <c r="CP187" i="5"/>
  <c r="CP188" i="5"/>
  <c r="CP189" i="5"/>
  <c r="CP190" i="5"/>
  <c r="CP191" i="5"/>
  <c r="CP192" i="5"/>
  <c r="CP193" i="5"/>
  <c r="CP194" i="5"/>
  <c r="CP195" i="5"/>
  <c r="CP196" i="5"/>
  <c r="CP197" i="5"/>
  <c r="CP198" i="5"/>
  <c r="CP199" i="5"/>
  <c r="CP200" i="5"/>
  <c r="CP201" i="5"/>
  <c r="CP202" i="5"/>
  <c r="CP203" i="5"/>
  <c r="CP204" i="5"/>
  <c r="CP205" i="5"/>
  <c r="CP206" i="5"/>
  <c r="CP207" i="5"/>
  <c r="CP208" i="5"/>
  <c r="CP209" i="5"/>
  <c r="CP210" i="5"/>
  <c r="CP211" i="5"/>
  <c r="CP212" i="5"/>
  <c r="CP213" i="5"/>
  <c r="CP214" i="5"/>
  <c r="CP215" i="5"/>
  <c r="CP216" i="5"/>
  <c r="CP217" i="5"/>
  <c r="CP218" i="5"/>
  <c r="CP219" i="5"/>
  <c r="CP220" i="5"/>
  <c r="CP221" i="5"/>
  <c r="CP222" i="5"/>
  <c r="CP223" i="5"/>
  <c r="CP224" i="5"/>
  <c r="CP225" i="5"/>
  <c r="CP226" i="5"/>
  <c r="CP227" i="5"/>
  <c r="CP228" i="5"/>
  <c r="CP229" i="5"/>
  <c r="CP230" i="5"/>
  <c r="CP231" i="5"/>
  <c r="CP232" i="5"/>
  <c r="CP233" i="5"/>
  <c r="CP234" i="5"/>
  <c r="CP235" i="5"/>
  <c r="CP236" i="5"/>
  <c r="CP237" i="5"/>
  <c r="CP238" i="5"/>
  <c r="CP239" i="5"/>
  <c r="CP240" i="5"/>
  <c r="CP241" i="5"/>
  <c r="CP242" i="5"/>
  <c r="CP243" i="5"/>
  <c r="CP244" i="5"/>
  <c r="CP245" i="5"/>
  <c r="CP246" i="5"/>
  <c r="CP247" i="5"/>
  <c r="CP248" i="5"/>
  <c r="CP249" i="5"/>
  <c r="CP250" i="5"/>
  <c r="CP251" i="5"/>
  <c r="CP252" i="5"/>
  <c r="CP253" i="5"/>
  <c r="CP254" i="5"/>
  <c r="CP255" i="5"/>
  <c r="CP256" i="5"/>
  <c r="CP257" i="5"/>
  <c r="CP258" i="5"/>
  <c r="CP259" i="5"/>
  <c r="CP260" i="5"/>
  <c r="CP261" i="5"/>
  <c r="CP262" i="5"/>
  <c r="CP263" i="5"/>
  <c r="CP264" i="5"/>
  <c r="CP265" i="5"/>
  <c r="CP266" i="5"/>
  <c r="CP267" i="5"/>
  <c r="CP268" i="5"/>
  <c r="CP269" i="5"/>
  <c r="CP270" i="5"/>
  <c r="CP271" i="5"/>
  <c r="CP272" i="5"/>
  <c r="CP273" i="5"/>
  <c r="CP274" i="5"/>
  <c r="CP275" i="5"/>
  <c r="CP276" i="5"/>
  <c r="CP277" i="5"/>
  <c r="CP278" i="5"/>
  <c r="CP279" i="5"/>
  <c r="CP280" i="5"/>
  <c r="CP281" i="5"/>
  <c r="CP282" i="5"/>
  <c r="CP283" i="5"/>
  <c r="CP284" i="5"/>
  <c r="CP285" i="5"/>
  <c r="CP286" i="5"/>
  <c r="CP287" i="5"/>
  <c r="CP288" i="5"/>
  <c r="CP289" i="5"/>
  <c r="CP290" i="5"/>
  <c r="CP291" i="5"/>
  <c r="CP292" i="5"/>
  <c r="CP293" i="5"/>
  <c r="CP294" i="5"/>
  <c r="CP295" i="5"/>
  <c r="CP296" i="5"/>
  <c r="CP3" i="5"/>
  <c r="I73" i="3"/>
  <c r="I72" i="3"/>
  <c r="I69" i="3"/>
  <c r="J71" i="3"/>
  <c r="K71" i="3" s="1"/>
  <c r="L71" i="3" s="1"/>
  <c r="M71" i="3" s="1"/>
  <c r="J70" i="3" l="1"/>
  <c r="K70" i="3" s="1"/>
  <c r="L70" i="3" s="1"/>
  <c r="M70" i="3" s="1"/>
  <c r="J69" i="3"/>
  <c r="K69" i="3" s="1"/>
  <c r="L69" i="3" s="1"/>
  <c r="M69" i="3" s="1"/>
  <c r="T69" i="3" l="1"/>
  <c r="T70" i="3" l="1"/>
  <c r="U70" i="3" s="1"/>
  <c r="U69" i="3"/>
  <c r="B9" i="6" l="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8" i="6"/>
  <c r="C85" i="3" l="1"/>
  <c r="C115" i="3"/>
  <c r="A4" i="3" l="1"/>
  <c r="J72" i="3"/>
  <c r="K72" i="3" s="1"/>
  <c r="L72" i="3" s="1"/>
  <c r="M72" i="3" s="1"/>
  <c r="J73" i="3"/>
  <c r="K73" i="3" s="1"/>
  <c r="L73" i="3" s="1"/>
  <c r="M73" i="3" s="1"/>
  <c r="I74" i="3"/>
  <c r="J74" i="3" s="1"/>
  <c r="K74" i="3" s="1"/>
  <c r="L74" i="3" s="1"/>
  <c r="M74" i="3" s="1"/>
  <c r="J75" i="3"/>
  <c r="K75" i="3" s="1"/>
  <c r="L75" i="3" s="1"/>
  <c r="M75" i="3" s="1"/>
  <c r="D115" i="3"/>
  <c r="E115" i="3"/>
  <c r="F115" i="3"/>
  <c r="G115" i="3"/>
  <c r="H115" i="3"/>
  <c r="I115" i="3"/>
  <c r="J115" i="3"/>
  <c r="K115" i="3"/>
  <c r="L115" i="3"/>
  <c r="M115" i="3"/>
  <c r="B115" i="3"/>
  <c r="D85" i="3"/>
  <c r="E85" i="3"/>
  <c r="F85" i="3"/>
  <c r="G85" i="3"/>
  <c r="H85" i="3"/>
  <c r="I85" i="3"/>
  <c r="J85" i="3"/>
  <c r="K85" i="3"/>
  <c r="L85" i="3"/>
  <c r="M85" i="3"/>
  <c r="B85" i="3"/>
  <c r="M7" i="3" l="1"/>
  <c r="L7" i="3"/>
  <c r="K7" i="3"/>
  <c r="F19" i="3"/>
  <c r="G19" i="3"/>
  <c r="H19" i="3"/>
  <c r="I19" i="3" s="1"/>
  <c r="J19" i="3" s="1"/>
  <c r="K19" i="3" s="1"/>
  <c r="L19" i="3" s="1"/>
  <c r="M19" i="3" s="1"/>
  <c r="C41" i="3"/>
  <c r="B62" i="3"/>
  <c r="E19" i="3"/>
  <c r="C45" i="3"/>
  <c r="D45" i="3" s="1"/>
  <c r="E45" i="3" s="1"/>
  <c r="F45" i="3" s="1"/>
  <c r="C46" i="3"/>
  <c r="C44" i="3"/>
  <c r="D44" i="3" s="1"/>
  <c r="E44" i="3" s="1"/>
  <c r="F44" i="3" s="1"/>
  <c r="D19" i="3"/>
  <c r="H7" i="3"/>
  <c r="D7" i="3"/>
  <c r="I7" i="3"/>
  <c r="J7" i="3"/>
  <c r="F7" i="3"/>
  <c r="G7" i="3"/>
  <c r="E7" i="3"/>
  <c r="C8" i="3"/>
  <c r="C56" i="3"/>
  <c r="D56" i="3" s="1"/>
  <c r="E56" i="3" s="1"/>
  <c r="F56" i="3" s="1"/>
  <c r="B47" i="3"/>
  <c r="C24" i="3"/>
  <c r="D24" i="3" s="1"/>
  <c r="E24" i="3" s="1"/>
  <c r="F24" i="3" s="1"/>
  <c r="C27" i="3"/>
  <c r="D27" i="3" s="1"/>
  <c r="C29" i="3"/>
  <c r="C31" i="3"/>
  <c r="D31" i="3" s="1"/>
  <c r="E31" i="3" s="1"/>
  <c r="F31" i="3" s="1"/>
  <c r="C33" i="3"/>
  <c r="D33" i="3" s="1"/>
  <c r="E33" i="3" s="1"/>
  <c r="F33" i="3" s="1"/>
  <c r="C36" i="3"/>
  <c r="C62" i="3"/>
  <c r="C23" i="3"/>
  <c r="D23" i="3" s="1"/>
  <c r="E23" i="3" s="1"/>
  <c r="F23" i="3" s="1"/>
  <c r="C25" i="3"/>
  <c r="C28" i="3"/>
  <c r="C30" i="3"/>
  <c r="C32" i="3"/>
  <c r="D32" i="3" s="1"/>
  <c r="E32" i="3" s="1"/>
  <c r="F32" i="3" s="1"/>
  <c r="C34" i="3"/>
  <c r="C60" i="3"/>
  <c r="B36" i="3"/>
  <c r="B33" i="3"/>
  <c r="B31" i="3"/>
  <c r="B23" i="3"/>
  <c r="C19" i="3"/>
  <c r="C7" i="3"/>
  <c r="B34" i="3"/>
  <c r="B32" i="3"/>
  <c r="B30" i="3"/>
  <c r="B22" i="3"/>
  <c r="C18" i="3"/>
  <c r="B15" i="3"/>
  <c r="C15" i="3"/>
  <c r="B24" i="3"/>
  <c r="C22" i="3"/>
  <c r="B21" i="3"/>
  <c r="B19" i="3"/>
  <c r="B11" i="3"/>
  <c r="B16" i="3"/>
  <c r="B29" i="3"/>
  <c r="C16" i="3"/>
  <c r="D16" i="3" s="1"/>
  <c r="D8" i="3"/>
  <c r="B18" i="3"/>
  <c r="B8" i="3"/>
  <c r="B7" i="3"/>
  <c r="B12" i="3"/>
  <c r="B17" i="3"/>
  <c r="B25" i="3"/>
  <c r="C21" i="3"/>
  <c r="D21" i="3" s="1"/>
  <c r="E21" i="3" s="1"/>
  <c r="F21" i="3" s="1"/>
  <c r="C12" i="3"/>
  <c r="B27" i="3"/>
  <c r="B28" i="3"/>
  <c r="B60" i="3"/>
  <c r="C17" i="3"/>
  <c r="C11" i="3"/>
  <c r="D11" i="3" l="1"/>
  <c r="C14" i="3"/>
  <c r="D22" i="3"/>
  <c r="C57" i="3"/>
  <c r="C9" i="3"/>
  <c r="D10" i="3" s="1"/>
  <c r="B42" i="3"/>
  <c r="C47" i="3"/>
  <c r="C49" i="3" s="1"/>
  <c r="C50" i="3" s="1"/>
  <c r="D41" i="3"/>
  <c r="E41" i="3" s="1"/>
  <c r="F41" i="3" s="1"/>
  <c r="G41" i="3" s="1"/>
  <c r="H41" i="3" s="1"/>
  <c r="I41" i="3" s="1"/>
  <c r="J41" i="3" s="1"/>
  <c r="K41" i="3" s="1"/>
  <c r="L41" i="3" s="1"/>
  <c r="M41" i="3" s="1"/>
  <c r="B48" i="3"/>
  <c r="C26" i="3"/>
  <c r="C86" i="3" s="1"/>
  <c r="G32" i="3"/>
  <c r="H32" i="3" s="1"/>
  <c r="I32" i="3" s="1"/>
  <c r="J32" i="3" s="1"/>
  <c r="K32" i="3" s="1"/>
  <c r="L32" i="3" s="1"/>
  <c r="M32" i="3" s="1"/>
  <c r="G23" i="3"/>
  <c r="H23" i="3" s="1"/>
  <c r="I23" i="3" s="1"/>
  <c r="J23" i="3" s="1"/>
  <c r="K23" i="3" s="1"/>
  <c r="L23" i="3" s="1"/>
  <c r="M23" i="3" s="1"/>
  <c r="G31" i="3"/>
  <c r="H31" i="3" s="1"/>
  <c r="I31" i="3" s="1"/>
  <c r="J31" i="3" s="1"/>
  <c r="K31" i="3" s="1"/>
  <c r="L31" i="3" s="1"/>
  <c r="M31" i="3" s="1"/>
  <c r="G45" i="3"/>
  <c r="H45" i="3" s="1"/>
  <c r="I45" i="3" s="1"/>
  <c r="J45" i="3" s="1"/>
  <c r="K45" i="3" s="1"/>
  <c r="L45" i="3" s="1"/>
  <c r="M45" i="3" s="1"/>
  <c r="G21" i="3"/>
  <c r="H21" i="3" s="1"/>
  <c r="I21" i="3" s="1"/>
  <c r="J21" i="3" s="1"/>
  <c r="K21" i="3" s="1"/>
  <c r="L21" i="3" s="1"/>
  <c r="M21" i="3" s="1"/>
  <c r="G56" i="3"/>
  <c r="H56" i="3" s="1"/>
  <c r="I56" i="3" s="1"/>
  <c r="J56" i="3" s="1"/>
  <c r="K56" i="3" s="1"/>
  <c r="L56" i="3" s="1"/>
  <c r="M56" i="3" s="1"/>
  <c r="G44" i="3"/>
  <c r="H44" i="3" s="1"/>
  <c r="I44" i="3" s="1"/>
  <c r="J44" i="3" s="1"/>
  <c r="K44" i="3" s="1"/>
  <c r="L44" i="3" s="1"/>
  <c r="M44" i="3" s="1"/>
  <c r="G33" i="3"/>
  <c r="H33" i="3" s="1"/>
  <c r="I33" i="3" s="1"/>
  <c r="J33" i="3" s="1"/>
  <c r="K33" i="3" s="1"/>
  <c r="L33" i="3" s="1"/>
  <c r="M33" i="3" s="1"/>
  <c r="G24" i="3"/>
  <c r="H24" i="3" s="1"/>
  <c r="I24" i="3" s="1"/>
  <c r="J24" i="3" s="1"/>
  <c r="K24" i="3" s="1"/>
  <c r="L24" i="3" s="1"/>
  <c r="M24" i="3" s="1"/>
  <c r="B40" i="3"/>
  <c r="D58" i="3"/>
  <c r="C75" i="3"/>
  <c r="E8" i="3"/>
  <c r="G8" i="3" s="1"/>
  <c r="B9" i="3"/>
  <c r="B64" i="3"/>
  <c r="B65" i="3" s="1"/>
  <c r="B37" i="3"/>
  <c r="B88" i="3"/>
  <c r="C69" i="3"/>
  <c r="C42" i="3"/>
  <c r="C64" i="3"/>
  <c r="C65" i="3" s="1"/>
  <c r="C40" i="3"/>
  <c r="B49" i="3"/>
  <c r="B50" i="3" s="1"/>
  <c r="B87" i="3"/>
  <c r="B14" i="3"/>
  <c r="D12" i="3"/>
  <c r="E12" i="3" s="1"/>
  <c r="F12" i="3" s="1"/>
  <c r="G12" i="3" s="1"/>
  <c r="H12" i="3" s="1"/>
  <c r="I12" i="3" s="1"/>
  <c r="J12" i="3" s="1"/>
  <c r="K12" i="3" s="1"/>
  <c r="L12" i="3" s="1"/>
  <c r="M12" i="3" s="1"/>
  <c r="C70" i="3"/>
  <c r="E16" i="3"/>
  <c r="F16" i="3" s="1"/>
  <c r="G16" i="3" s="1"/>
  <c r="C73" i="3"/>
  <c r="C87" i="3"/>
  <c r="C63" i="3"/>
  <c r="C116" i="3" s="1"/>
  <c r="C37" i="3"/>
  <c r="C61" i="3"/>
  <c r="C117" i="3" s="1"/>
  <c r="C72" i="3"/>
  <c r="D17" i="3"/>
  <c r="E17" i="3" s="1"/>
  <c r="F17" i="3" s="1"/>
  <c r="G17" i="3" s="1"/>
  <c r="H17" i="3" s="1"/>
  <c r="I17" i="3" s="1"/>
  <c r="J17" i="3" s="1"/>
  <c r="K17" i="3" s="1"/>
  <c r="L17" i="3" s="1"/>
  <c r="M17" i="3" s="1"/>
  <c r="C74" i="3"/>
  <c r="B26" i="3"/>
  <c r="B86" i="3" s="1"/>
  <c r="B63" i="3"/>
  <c r="B116" i="3" s="1"/>
  <c r="B61" i="3"/>
  <c r="B117" i="3" s="1"/>
  <c r="D46" i="3"/>
  <c r="D47" i="3" s="1"/>
  <c r="D15" i="3" l="1"/>
  <c r="D9" i="3" s="1"/>
  <c r="E10" i="3" s="1"/>
  <c r="E15" i="3" s="1"/>
  <c r="F15" i="3" s="1"/>
  <c r="F9" i="3" s="1"/>
  <c r="D14" i="3"/>
  <c r="C43" i="3"/>
  <c r="C52" i="3" s="1"/>
  <c r="E11" i="3"/>
  <c r="E14" i="3" s="1"/>
  <c r="C71" i="3"/>
  <c r="H16" i="3"/>
  <c r="I16" i="3" s="1"/>
  <c r="J16" i="3" s="1"/>
  <c r="K16" i="3" s="1"/>
  <c r="L16" i="3" s="1"/>
  <c r="M16" i="3" s="1"/>
  <c r="C118" i="3"/>
  <c r="C48" i="3"/>
  <c r="C88" i="3"/>
  <c r="B118" i="3"/>
  <c r="E27" i="3"/>
  <c r="D87" i="3"/>
  <c r="E46" i="3"/>
  <c r="E47" i="3" s="1"/>
  <c r="D42" i="3"/>
  <c r="H8" i="3"/>
  <c r="D18" i="3" l="1"/>
  <c r="D25" i="3" s="1"/>
  <c r="D40" i="3" s="1"/>
  <c r="D43" i="3" s="1"/>
  <c r="D52" i="3" s="1"/>
  <c r="D55" i="3" s="1"/>
  <c r="D62" i="3" s="1"/>
  <c r="F11" i="3"/>
  <c r="F14" i="3" s="1"/>
  <c r="E18" i="3"/>
  <c r="E9" i="3"/>
  <c r="G15" i="3" s="1"/>
  <c r="G9" i="3" s="1"/>
  <c r="F27" i="3"/>
  <c r="G27" i="3" s="1"/>
  <c r="E87" i="3"/>
  <c r="E42" i="3"/>
  <c r="D48" i="3"/>
  <c r="D88" i="3"/>
  <c r="F46" i="3"/>
  <c r="F47" i="3" s="1"/>
  <c r="I8" i="3"/>
  <c r="G11" i="3" l="1"/>
  <c r="G14" i="3" s="1"/>
  <c r="D30" i="3"/>
  <c r="D34" i="3" s="1"/>
  <c r="G46" i="3"/>
  <c r="G47" i="3" s="1"/>
  <c r="D26" i="3"/>
  <c r="D86" i="3" s="1"/>
  <c r="D49" i="3"/>
  <c r="D50" i="3" s="1"/>
  <c r="G10" i="3"/>
  <c r="F18" i="3"/>
  <c r="F87" i="3"/>
  <c r="E48" i="3"/>
  <c r="E88" i="3"/>
  <c r="F42" i="3"/>
  <c r="J8" i="3"/>
  <c r="H11" i="3" l="1"/>
  <c r="H14" i="3" s="1"/>
  <c r="D36" i="3"/>
  <c r="D37" i="3" s="1"/>
  <c r="D59" i="3"/>
  <c r="G18" i="3"/>
  <c r="H10" i="3"/>
  <c r="H15" i="3" s="1"/>
  <c r="G87" i="3"/>
  <c r="H27" i="3"/>
  <c r="H46" i="3"/>
  <c r="H47" i="3" s="1"/>
  <c r="G42" i="3"/>
  <c r="F88" i="3"/>
  <c r="F48" i="3"/>
  <c r="K8" i="3"/>
  <c r="D60" i="3" l="1"/>
  <c r="D64" i="3" s="1"/>
  <c r="D65" i="3" s="1"/>
  <c r="D57" i="3"/>
  <c r="I11" i="3"/>
  <c r="I14" i="3" s="1"/>
  <c r="D63" i="3"/>
  <c r="D116" i="3" s="1"/>
  <c r="H9" i="3"/>
  <c r="I10" i="3" s="1"/>
  <c r="I15" i="3" s="1"/>
  <c r="H18" i="3"/>
  <c r="I27" i="3"/>
  <c r="H87" i="3"/>
  <c r="I46" i="3"/>
  <c r="I47" i="3" s="1"/>
  <c r="H42" i="3"/>
  <c r="G48" i="3"/>
  <c r="G88" i="3"/>
  <c r="L8" i="3"/>
  <c r="E22" i="3" l="1"/>
  <c r="E25" i="3" s="1"/>
  <c r="E26" i="3" s="1"/>
  <c r="E86" i="3" s="1"/>
  <c r="D61" i="3"/>
  <c r="D117" i="3" s="1"/>
  <c r="D118" i="3" s="1"/>
  <c r="E58" i="3"/>
  <c r="J11" i="3"/>
  <c r="J14" i="3" s="1"/>
  <c r="I18" i="3"/>
  <c r="I9" i="3"/>
  <c r="J10" i="3" s="1"/>
  <c r="J15" i="3" s="1"/>
  <c r="I87" i="3"/>
  <c r="J27" i="3"/>
  <c r="J46" i="3"/>
  <c r="J47" i="3" s="1"/>
  <c r="I42" i="3"/>
  <c r="H88" i="3"/>
  <c r="H48" i="3"/>
  <c r="M8" i="3"/>
  <c r="E49" i="3" l="1"/>
  <c r="E50" i="3" s="1"/>
  <c r="E30" i="3"/>
  <c r="E34" i="3" s="1"/>
  <c r="E36" i="3" s="1"/>
  <c r="E37" i="3" s="1"/>
  <c r="E40" i="3"/>
  <c r="E43" i="3" s="1"/>
  <c r="E52" i="3" s="1"/>
  <c r="E55" i="3" s="1"/>
  <c r="E62" i="3" s="1"/>
  <c r="E59" i="3" s="1"/>
  <c r="E57" i="3" s="1"/>
  <c r="K11" i="3"/>
  <c r="K14" i="3" s="1"/>
  <c r="J9" i="3"/>
  <c r="K10" i="3" s="1"/>
  <c r="K15" i="3" s="1"/>
  <c r="J18" i="3"/>
  <c r="K27" i="3"/>
  <c r="J87" i="3"/>
  <c r="J42" i="3"/>
  <c r="I48" i="3"/>
  <c r="I88" i="3"/>
  <c r="K46" i="3"/>
  <c r="K47" i="3" s="1"/>
  <c r="E63" i="3" l="1"/>
  <c r="E116" i="3" s="1"/>
  <c r="E60" i="3"/>
  <c r="E64" i="3" s="1"/>
  <c r="E65" i="3" s="1"/>
  <c r="L11" i="3"/>
  <c r="L14" i="3" s="1"/>
  <c r="K18" i="3"/>
  <c r="K9" i="3"/>
  <c r="L10" i="3" s="1"/>
  <c r="L15" i="3" s="1"/>
  <c r="K87" i="3"/>
  <c r="L27" i="3"/>
  <c r="J88" i="3"/>
  <c r="J48" i="3"/>
  <c r="L46" i="3"/>
  <c r="L47" i="3" s="1"/>
  <c r="K42" i="3"/>
  <c r="F58" i="3" l="1"/>
  <c r="E61" i="3"/>
  <c r="E117" i="3" s="1"/>
  <c r="E118" i="3" s="1"/>
  <c r="F22" i="3"/>
  <c r="F25" i="3" s="1"/>
  <c r="F26" i="3" s="1"/>
  <c r="F86" i="3" s="1"/>
  <c r="M11" i="3"/>
  <c r="M14" i="3" s="1"/>
  <c r="L18" i="3"/>
  <c r="L9" i="3"/>
  <c r="M10" i="3" s="1"/>
  <c r="M15" i="3" s="1"/>
  <c r="M27" i="3"/>
  <c r="M87" i="3" s="1"/>
  <c r="L87" i="3"/>
  <c r="M42" i="3"/>
  <c r="L42" i="3"/>
  <c r="K88" i="3"/>
  <c r="K48" i="3"/>
  <c r="M46" i="3"/>
  <c r="M47" i="3" s="1"/>
  <c r="F49" i="3" l="1"/>
  <c r="F50" i="3" s="1"/>
  <c r="F40" i="3"/>
  <c r="F43" i="3" s="1"/>
  <c r="F52" i="3" s="1"/>
  <c r="F55" i="3" s="1"/>
  <c r="F62" i="3" s="1"/>
  <c r="F59" i="3" s="1"/>
  <c r="F57" i="3" s="1"/>
  <c r="F30" i="3"/>
  <c r="F34" i="3" s="1"/>
  <c r="F36" i="3" s="1"/>
  <c r="F37" i="3" s="1"/>
  <c r="M9" i="3"/>
  <c r="M18" i="3"/>
  <c r="L88" i="3"/>
  <c r="L48" i="3"/>
  <c r="M88" i="3"/>
  <c r="M48" i="3"/>
  <c r="F60" i="3" l="1"/>
  <c r="G58" i="3" s="1"/>
  <c r="F63" i="3"/>
  <c r="F116" i="3" s="1"/>
  <c r="F64" i="3" l="1"/>
  <c r="F65" i="3" s="1"/>
  <c r="F61" i="3"/>
  <c r="F117" i="3" s="1"/>
  <c r="F118" i="3" s="1"/>
  <c r="G22" i="3"/>
  <c r="G25" i="3" s="1"/>
  <c r="G30" i="3" s="1"/>
  <c r="G34" i="3" s="1"/>
  <c r="G36" i="3" s="1"/>
  <c r="G26" i="3" l="1"/>
  <c r="G86" i="3" s="1"/>
  <c r="G40" i="3"/>
  <c r="G43" i="3" s="1"/>
  <c r="G52" i="3" s="1"/>
  <c r="G55" i="3" s="1"/>
  <c r="G62" i="3" s="1"/>
  <c r="G59" i="3" s="1"/>
  <c r="G49" i="3"/>
  <c r="G50" i="3" s="1"/>
  <c r="G37" i="3"/>
  <c r="G57" i="3" l="1"/>
  <c r="G60" i="3"/>
  <c r="G63" i="3"/>
  <c r="G116" i="3" s="1"/>
  <c r="G64" i="3" l="1"/>
  <c r="G65" i="3" s="1"/>
  <c r="H58" i="3"/>
  <c r="H22" i="3"/>
  <c r="H25" i="3" s="1"/>
  <c r="G61" i="3"/>
  <c r="G117" i="3" s="1"/>
  <c r="G118" i="3" s="1"/>
  <c r="H40" i="3" l="1"/>
  <c r="H43" i="3" s="1"/>
  <c r="H52" i="3" s="1"/>
  <c r="H55" i="3" s="1"/>
  <c r="H26" i="3"/>
  <c r="H86" i="3" s="1"/>
  <c r="H30" i="3"/>
  <c r="H34" i="3" s="1"/>
  <c r="H36" i="3" s="1"/>
  <c r="H49" i="3"/>
  <c r="H50" i="3" s="1"/>
  <c r="H37" i="3" l="1"/>
  <c r="H62" i="3"/>
  <c r="H59" i="3" s="1"/>
  <c r="H57" i="3" l="1"/>
  <c r="H60" i="3"/>
  <c r="H63" i="3"/>
  <c r="H116" i="3" s="1"/>
  <c r="I58" i="3" l="1"/>
  <c r="I22" i="3"/>
  <c r="I25" i="3" s="1"/>
  <c r="H61" i="3"/>
  <c r="H117" i="3" s="1"/>
  <c r="H118" i="3" s="1"/>
  <c r="H64" i="3"/>
  <c r="H65" i="3" s="1"/>
  <c r="I40" i="3" l="1"/>
  <c r="I43" i="3" s="1"/>
  <c r="I52" i="3" s="1"/>
  <c r="I55" i="3" s="1"/>
  <c r="I30" i="3"/>
  <c r="I34" i="3" s="1"/>
  <c r="I36" i="3" s="1"/>
  <c r="I49" i="3"/>
  <c r="I50" i="3" s="1"/>
  <c r="I26" i="3"/>
  <c r="I86" i="3" s="1"/>
  <c r="I62" i="3" l="1"/>
  <c r="I59" i="3" s="1"/>
  <c r="I37" i="3"/>
  <c r="I57" i="3" l="1"/>
  <c r="I60" i="3"/>
  <c r="I63" i="3"/>
  <c r="I116" i="3" s="1"/>
  <c r="I64" i="3" l="1"/>
  <c r="I65" i="3" s="1"/>
  <c r="J22" i="3"/>
  <c r="J25" i="3" s="1"/>
  <c r="J58" i="3"/>
  <c r="I61" i="3"/>
  <c r="I117" i="3" s="1"/>
  <c r="I118" i="3" s="1"/>
  <c r="J40" i="3" l="1"/>
  <c r="J43" i="3" s="1"/>
  <c r="J52" i="3" s="1"/>
  <c r="J55" i="3" s="1"/>
  <c r="J26" i="3"/>
  <c r="J86" i="3" s="1"/>
  <c r="J30" i="3"/>
  <c r="J34" i="3" s="1"/>
  <c r="J36" i="3" s="1"/>
  <c r="J49" i="3"/>
  <c r="J50" i="3" s="1"/>
  <c r="J37" i="3" l="1"/>
  <c r="J62" i="3"/>
  <c r="J63" i="3" l="1"/>
  <c r="J116" i="3" s="1"/>
  <c r="J59" i="3"/>
  <c r="J57" i="3" l="1"/>
  <c r="J60" i="3"/>
  <c r="K58" i="3" l="1"/>
  <c r="K22" i="3"/>
  <c r="K25" i="3" s="1"/>
  <c r="J61" i="3"/>
  <c r="J117" i="3" s="1"/>
  <c r="J118" i="3" s="1"/>
  <c r="J64" i="3"/>
  <c r="J65" i="3" s="1"/>
  <c r="K40" i="3" l="1"/>
  <c r="K43" i="3" s="1"/>
  <c r="K52" i="3" s="1"/>
  <c r="K55" i="3" s="1"/>
  <c r="K30" i="3"/>
  <c r="K34" i="3" s="1"/>
  <c r="K36" i="3" s="1"/>
  <c r="K26" i="3"/>
  <c r="K86" i="3" s="1"/>
  <c r="K49" i="3"/>
  <c r="K50" i="3" s="1"/>
  <c r="K62" i="3" l="1"/>
  <c r="K37" i="3"/>
  <c r="K63" i="3" l="1"/>
  <c r="K116" i="3" s="1"/>
  <c r="K59" i="3"/>
  <c r="K57" i="3" l="1"/>
  <c r="K60" i="3"/>
  <c r="L58" i="3" l="1"/>
  <c r="L22" i="3"/>
  <c r="L25" i="3" s="1"/>
  <c r="K61" i="3"/>
  <c r="K117" i="3" s="1"/>
  <c r="K118" i="3" s="1"/>
  <c r="K64" i="3"/>
  <c r="K65" i="3" s="1"/>
  <c r="L40" i="3" l="1"/>
  <c r="L43" i="3" s="1"/>
  <c r="L52" i="3" s="1"/>
  <c r="L55" i="3" s="1"/>
  <c r="L26" i="3"/>
  <c r="L86" i="3" s="1"/>
  <c r="L30" i="3"/>
  <c r="L34" i="3" s="1"/>
  <c r="L36" i="3" s="1"/>
  <c r="L49" i="3"/>
  <c r="L50" i="3" s="1"/>
  <c r="L37" i="3" l="1"/>
  <c r="L62" i="3"/>
  <c r="L59" i="3" s="1"/>
  <c r="L63" i="3" l="1"/>
  <c r="L116" i="3" s="1"/>
  <c r="L57" i="3"/>
  <c r="L60" i="3"/>
  <c r="M22" i="3" l="1"/>
  <c r="M25" i="3" s="1"/>
  <c r="L61" i="3"/>
  <c r="L117" i="3" s="1"/>
  <c r="L118" i="3" s="1"/>
  <c r="M58" i="3"/>
  <c r="L64" i="3"/>
  <c r="L65" i="3" s="1"/>
  <c r="M30" i="3" l="1"/>
  <c r="M34" i="3" s="1"/>
  <c r="M36" i="3" s="1"/>
  <c r="M37" i="3" s="1"/>
  <c r="M40" i="3"/>
  <c r="M43" i="3" s="1"/>
  <c r="M52" i="3" s="1"/>
  <c r="M55" i="3" s="1"/>
  <c r="M49" i="3"/>
  <c r="M50" i="3" s="1"/>
  <c r="M26" i="3"/>
  <c r="M86" i="3" s="1"/>
  <c r="M62" i="3" l="1"/>
  <c r="M63" i="3" l="1"/>
  <c r="M116" i="3" s="1"/>
  <c r="M59" i="3"/>
  <c r="M57" i="3" l="1"/>
  <c r="M60" i="3"/>
  <c r="M61" i="3" l="1"/>
  <c r="M117" i="3" s="1"/>
  <c r="M118" i="3" s="1"/>
  <c r="M64" i="3"/>
  <c r="M65" i="3" s="1"/>
</calcChain>
</file>

<file path=xl/sharedStrings.xml><?xml version="1.0" encoding="utf-8"?>
<sst xmlns="http://schemas.openxmlformats.org/spreadsheetml/2006/main" count="845" uniqueCount="474">
  <si>
    <t>Nettoinvestoinnit</t>
  </si>
  <si>
    <t>Yhteisöverot</t>
  </si>
  <si>
    <t>Kiinteistöverot</t>
  </si>
  <si>
    <t>Veroprosentti</t>
  </si>
  <si>
    <t>Toimintatuotot</t>
  </si>
  <si>
    <t>Toimintakulut</t>
  </si>
  <si>
    <t>Verotulot</t>
  </si>
  <si>
    <t>Valtionavut</t>
  </si>
  <si>
    <t>Korkotuotot</t>
  </si>
  <si>
    <t>Muut rahoitustuotot</t>
  </si>
  <si>
    <t>Korkokulut</t>
  </si>
  <si>
    <t>Muut rahoituskulut</t>
  </si>
  <si>
    <t>VUOSIKATE</t>
  </si>
  <si>
    <t>Kunnallisverot</t>
  </si>
  <si>
    <t>Puumala</t>
  </si>
  <si>
    <t>Toimintakate</t>
  </si>
  <si>
    <t>Poistot ja arvonalent.</t>
  </si>
  <si>
    <t>Tlikauden yli-/alijäämä</t>
  </si>
  <si>
    <t>Satunnaiset tuotot</t>
  </si>
  <si>
    <t>Satunnaiset kulut</t>
  </si>
  <si>
    <t>Tlikauden tulos</t>
  </si>
  <si>
    <t xml:space="preserve">Lainakanta </t>
  </si>
  <si>
    <t>Saamiset</t>
  </si>
  <si>
    <t>Kemi</t>
  </si>
  <si>
    <t>Oulainen</t>
  </si>
  <si>
    <t>Vaala</t>
  </si>
  <si>
    <t>Poistoeron lisäys(-) tai väh.(+)</t>
  </si>
  <si>
    <t>Varausten lisäys(-) tai väh.(+)</t>
  </si>
  <si>
    <t>Rahastojen lisäys(-) tai väh.(+)</t>
  </si>
  <si>
    <t>vero-% yksikön tuotto</t>
  </si>
  <si>
    <t xml:space="preserve"> -&gt; noston vaikutus</t>
  </si>
  <si>
    <t>€/as</t>
  </si>
  <si>
    <t xml:space="preserve"> €/as</t>
  </si>
  <si>
    <t>Vuosikate</t>
  </si>
  <si>
    <t>Vuosikate-nettoinv.</t>
  </si>
  <si>
    <t>Rahavarat</t>
  </si>
  <si>
    <t>Lainakanta</t>
  </si>
  <si>
    <t>Kunta nro.</t>
  </si>
  <si>
    <t>Kunta</t>
  </si>
  <si>
    <t>Alajärvi</t>
  </si>
  <si>
    <t>Alavieska</t>
  </si>
  <si>
    <t>Alavus</t>
  </si>
  <si>
    <t>Asikkala</t>
  </si>
  <si>
    <t>Askola</t>
  </si>
  <si>
    <t>Aura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</si>
  <si>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</si>
  <si>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</si>
  <si>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</si>
  <si>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</si>
  <si>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</si>
  <si>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</si>
  <si>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</si>
  <si>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</si>
  <si>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</si>
  <si>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</si>
  <si>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</si>
  <si>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</si>
  <si>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</si>
  <si>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</si>
  <si>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</si>
  <si>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</si>
  <si>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</si>
  <si>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</si>
  <si>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</si>
  <si>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</si>
  <si>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</si>
  <si>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</si>
  <si>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</si>
  <si>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</si>
  <si>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</si>
  <si>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</si>
  <si>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</si>
  <si>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</si>
  <si>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</si>
  <si>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</si>
  <si>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</si>
  <si>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</si>
  <si>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</si>
  <si>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</si>
  <si>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</si>
  <si>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</si>
  <si>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</si>
  <si>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</si>
  <si>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</si>
  <si>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</si>
  <si>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</si>
  <si>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</si>
  <si>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</si>
  <si>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</si>
  <si>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</si>
  <si>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</si>
  <si>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</si>
  <si>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</si>
  <si>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</si>
  <si>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</si>
  <si>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</si>
  <si>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</si>
  <si>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</si>
  <si>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</si>
  <si>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</si>
  <si>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</si>
  <si>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</si>
  <si>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</si>
  <si>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</si>
  <si>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</si>
  <si>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</si>
  <si>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</si>
  <si>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</si>
  <si>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</si>
  <si>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</si>
  <si>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</si>
  <si>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</si>
  <si>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</si>
  <si>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</si>
  <si>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</si>
  <si>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</si>
  <si>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Kemijärvi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</si>
  <si>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</si>
  <si>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</si>
  <si>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</si>
  <si>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</si>
  <si>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</si>
  <si>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</si>
  <si>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</si>
  <si>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</si>
  <si>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</si>
  <si>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</si>
  <si>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</si>
  <si>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</si>
  <si>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</si>
  <si>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</si>
  <si>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</si>
  <si>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</si>
  <si>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</si>
  <si>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</si>
  <si>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</si>
  <si>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</si>
  <si>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</si>
  <si>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</si>
  <si>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</si>
  <si>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</si>
  <si>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</si>
  <si>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</si>
  <si>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</si>
  <si>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</si>
  <si>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</si>
  <si>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</si>
  <si>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</si>
  <si>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</si>
  <si>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</si>
  <si>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</si>
  <si>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</si>
  <si>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</si>
  <si>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</si>
  <si>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</si>
  <si>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</si>
  <si>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</si>
  <si>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</si>
  <si>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</si>
  <si>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</si>
  <si>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</si>
  <si>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</si>
  <si>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</si>
  <si>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</si>
  <si>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</si>
  <si>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</si>
  <si>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</si>
  <si>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</si>
  <si>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</si>
  <si>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</si>
  <si>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</si>
  <si>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Luoto</t>
  </si>
  <si>
    <t>Luumäki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</si>
  <si>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</si>
  <si>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</si>
  <si>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</si>
  <si>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</si>
  <si>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</si>
  <si>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</si>
  <si>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</si>
  <si>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</si>
  <si>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</si>
  <si>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</si>
  <si>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</si>
  <si>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</si>
  <si>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</si>
  <si>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</si>
  <si>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</si>
  <si>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</si>
  <si>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</si>
  <si>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</si>
  <si>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</si>
  <si>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</si>
  <si>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</si>
  <si>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</si>
  <si>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</si>
  <si>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</si>
  <si>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</si>
  <si>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</si>
  <si>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</si>
  <si>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Oulu</t>
  </si>
  <si>
    <t>Outokumpu</t>
  </si>
  <si>
    <t>Padasjoki</t>
  </si>
  <si>
    <t>Paimio</t>
  </si>
  <si>
    <t>Paltamo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</si>
  <si>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</si>
  <si>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</si>
  <si>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</si>
  <si>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</si>
  <si>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</si>
  <si>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</si>
  <si>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</si>
  <si>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</si>
  <si>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</si>
  <si>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</si>
  <si>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</si>
  <si>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</si>
  <si>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</si>
  <si>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</si>
  <si>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</si>
  <si>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</si>
  <si>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</si>
  <si>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</si>
  <si>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</si>
  <si>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</si>
  <si>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</si>
  <si>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</si>
  <si>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</si>
  <si>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</si>
  <si>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</si>
  <si>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</si>
  <si>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</si>
  <si>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</si>
  <si>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</si>
  <si>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</si>
  <si>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</si>
  <si>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</si>
  <si>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</si>
  <si>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</si>
  <si>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</si>
  <si>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</si>
  <si>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</si>
  <si>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</si>
  <si>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</si>
  <si>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</si>
  <si>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</si>
  <si>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</si>
  <si>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</si>
  <si>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</si>
  <si>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</si>
  <si>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</si>
  <si>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</si>
  <si>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</si>
  <si>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</si>
  <si>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</si>
  <si>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</si>
  <si>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</si>
  <si>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</si>
  <si>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</si>
  <si>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</si>
  <si>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</si>
  <si>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</si>
  <si>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</si>
  <si>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</si>
  <si>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</si>
  <si>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</si>
  <si>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</si>
  <si>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</si>
  <si>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</si>
  <si>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</si>
  <si>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</si>
  <si>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</si>
  <si>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</si>
  <si>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</si>
  <si>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</si>
  <si>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</si>
  <si>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</si>
  <si>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</si>
  <si>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</si>
  <si>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</si>
  <si>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</si>
  <si>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</si>
  <si>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</si>
  <si>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</si>
  <si>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</si>
  <si>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</si>
  <si>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</si>
  <si>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</si>
  <si>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</si>
  <si>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</si>
  <si>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</si>
  <si>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</si>
  <si>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</si>
  <si>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</si>
  <si>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</si>
  <si>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</si>
  <si>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</si>
  <si>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</si>
  <si>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</si>
  <si>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</si>
  <si>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</si>
  <si>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</si>
  <si>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</si>
  <si>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</si>
  <si>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</si>
  <si>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</si>
  <si>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</si>
  <si>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</si>
  <si>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</si>
  <si>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</si>
  <si>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</si>
  <si>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</si>
  <si>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</si>
  <si>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Ylitornio</t>
  </si>
  <si>
    <t>Ylivieska</t>
  </si>
  <si>
    <t>Ylöjärvi</t>
  </si>
  <si>
    <t>Ypäjä</t>
  </si>
  <si>
    <t>Ähtäri</t>
  </si>
  <si>
    <t>Äänekoski</t>
  </si>
  <si>
    <t>Akaa</t>
  </si>
  <si>
    <t>Koski</t>
  </si>
  <si>
    <t>Kristiinankaupunki</t>
  </si>
  <si>
    <t>SYÖTÄ HALUAMASI KASVUPROSENTIT!</t>
  </si>
  <si>
    <t>vero-%</t>
  </si>
  <si>
    <t>TULOSLASKELMA</t>
  </si>
  <si>
    <t>Valtionosuudet</t>
  </si>
  <si>
    <t>vos-hava</t>
  </si>
  <si>
    <t>Valtionosuudet (pl. hark.var.)</t>
  </si>
  <si>
    <t>Asukasluku 31.12.</t>
  </si>
  <si>
    <t>Lainanlisäystarve</t>
  </si>
  <si>
    <t>TAUSTAMUUTTUJAT:</t>
  </si>
  <si>
    <t>Lainanlyhennykset</t>
  </si>
  <si>
    <t>Nettovelka</t>
  </si>
  <si>
    <t>KUNNAN TALOUDEN SUUNNITTELUKEHIKKO</t>
  </si>
  <si>
    <t xml:space="preserve">laskee automaattisesti veroprosentin muutoksen vaikutuksen kunnallisveron tuottoon (edellisvuoden </t>
  </si>
  <si>
    <t>veroprosenttiyksikön tuoton perusteella).</t>
  </si>
  <si>
    <t xml:space="preserve">Tuloslaskelman pohjana ovat kuntien tilinpäätökset kahdelta viimeiseltä vuodelta. Tässä tapauksessa vuodet </t>
  </si>
  <si>
    <t>ovat näin kaikilla kunnilla samat. Em. keskeiset tuloslaskelman erät ovat seuraavat:</t>
  </si>
  <si>
    <t>1) toimintatuotot,</t>
  </si>
  <si>
    <t>2) toimintamenot,</t>
  </si>
  <si>
    <t>4) yhteisöverot,</t>
  </si>
  <si>
    <t>5) kiinteistöverot ja</t>
  </si>
  <si>
    <t>Käyttäjä voi muokata em. erien kasvuolettamuksia haluamikseen kirjoittamalla taulukkoon uudet kasvuprosentit.</t>
  </si>
  <si>
    <t>Käyttäjä voi muokata vaaleansinisellä pohjalla olevia kohtia (soluja).</t>
  </si>
  <si>
    <t xml:space="preserve">Korkokulujen kehitys perustuu edellisvuoden lainamäärään ja valittuun korkokantaan. Korkoprosentti (keskim.) </t>
  </si>
  <si>
    <t>voidaan siis valita halutun mukaiseksi. Korkoprosentti ei vaikuta korkotuottoihin, vaan sen perustuu ed. vuoden määrään.</t>
  </si>
  <si>
    <t>Asukasluku:</t>
  </si>
  <si>
    <t>Tuloveroprosentti:</t>
  </si>
  <si>
    <t>Tuloslaskelma:</t>
  </si>
  <si>
    <t>TASEESTA</t>
  </si>
  <si>
    <t>Rahoituslaskelma ja tase:</t>
  </si>
  <si>
    <t>taseen alijäämä tulisi katetuksi valituilla tuloslaskelman kasvuoletuksilla (vrt. kuntalaki ja alijäämän kattamisvelvollisuus).</t>
  </si>
  <si>
    <t>on esimerkiksi 8 vuotta, niin vuosittainen lainanlyhennys on 1/8 (12,5 %) edellisvuoden lainamäärästä. Lainanlyhennys</t>
  </si>
  <si>
    <t>Nettovelka (rahat-lainat)</t>
  </si>
  <si>
    <t>VALITSE KUNTA:</t>
  </si>
  <si>
    <t>Käyttäjä voi kuitenkin itse muokata em. kasvuolettamuksia sekä yleensä tuloslaskelman muita eriä.</t>
  </si>
  <si>
    <t>Rahoituslaskelman ja taseen erät pohjautuvat jäljempänä selostettuihin olettamuksiin</t>
  </si>
  <si>
    <t>(pl. taseen kertynyt yli-/alijäämä = ed. tilikausien yli-/alijäämä + tilikauden yli-/alijäämä).</t>
  </si>
  <si>
    <t>3) kunnallisverot (pl. veroprosentin noston vaikutus),</t>
  </si>
  <si>
    <t>Vaikutus korkomenoihin, ei korkotuloihin</t>
  </si>
  <si>
    <t>Esim. lainanlyhennysaika 8 vuotta, jolloin vuosilyhennys = 1/8 eli 12,5 % * lainamäärä</t>
  </si>
  <si>
    <t>Kemiönsaari</t>
  </si>
  <si>
    <t>Mänttä-Vilppula</t>
  </si>
  <si>
    <t>Raasepori</t>
  </si>
  <si>
    <t>Siikalatva</t>
  </si>
  <si>
    <t>Sastamala</t>
  </si>
  <si>
    <t>Tilikauden tulos</t>
  </si>
  <si>
    <t>hava</t>
  </si>
  <si>
    <t>VALITSE KESKIMÄÄR. LAINANLYHENNYSAIKA (VUODET):</t>
  </si>
  <si>
    <t>VALITSE KESKIMÄÄR. KORKOKANTA (KORKOPROSENTTI):</t>
  </si>
  <si>
    <t xml:space="preserve">Yhteisöverot  </t>
  </si>
  <si>
    <t xml:space="preserve"> → noston vaikutus</t>
  </si>
  <si>
    <t>€/asukas</t>
  </si>
  <si>
    <t xml:space="preserve"> €/asukas</t>
  </si>
  <si>
    <t>tuloveroprosentti on lähtökohtaisesti sama kuin edellisvuonna, mutta sitä voidaan muuttaa kehikossa. Kehikko</t>
  </si>
  <si>
    <t>Lainamäärää lyhennetään valitun keskimääräisen lyhennysajan (kuoletusaika) mukaan eli jos keskimääräinen lainanmaksuaika</t>
  </si>
  <si>
    <t>Tilikauden yli-/alijäämä</t>
  </si>
  <si>
    <t>Tulorahoituksen korjauserät</t>
  </si>
  <si>
    <t>Tulorah.korjauserät</t>
  </si>
  <si>
    <t>Satunnaiset erät, netto</t>
  </si>
  <si>
    <t xml:space="preserve"> = 1. Tulorahoitus, netto</t>
  </si>
  <si>
    <t>Investointimenot</t>
  </si>
  <si>
    <t>Rahoitusosuudet investointeihin</t>
  </si>
  <si>
    <t>Inv.hyödykkeiden luovutustulot</t>
  </si>
  <si>
    <t xml:space="preserve"> = 2. Nettoinvestoinnit</t>
  </si>
  <si>
    <t>Muutos ed. vuodesta, %:</t>
  </si>
  <si>
    <t xml:space="preserve"> (1. Tulorahoitus+ 2.Nettoinv.)</t>
  </si>
  <si>
    <t xml:space="preserve"> = 3. Rahoitusjäämä</t>
  </si>
  <si>
    <t>RAHOITUSLASKELMAN JA TASEEN TIETOJA (sisältäen rahoitusjäämän ja sen vajeen kattamisoletukset)</t>
  </si>
  <si>
    <t>Syötä prosenttiosuus, joka käytetään rahavaroista.</t>
  </si>
  <si>
    <t>Lainamäärän muutos;</t>
  </si>
  <si>
    <t>Syötä muutos-</t>
  </si>
  <si>
    <t>prosentit</t>
  </si>
  <si>
    <t xml:space="preserve">arvioluvut koko maan </t>
  </si>
  <si>
    <t>kehityksestä</t>
  </si>
  <si>
    <t>4. Bruttorahoitustarve</t>
  </si>
  <si>
    <t>(= Rahoitusjäämä + antolainasaam.</t>
  </si>
  <si>
    <t>muutokset + lainanlyh.)</t>
  </si>
  <si>
    <t xml:space="preserve">MONTAKO % RAHAVAROISTA KÄYTETÄÄN (4.) BRUTTORAHOITUSTARPEEN KATTAMISEEN ? </t>
  </si>
  <si>
    <t>Positiivinen arvo=nettolisäys.</t>
  </si>
  <si>
    <t>Kertynyt yli-/alijäämä</t>
  </si>
  <si>
    <t>Kotikuntakorv.+elatustuen pal., netto</t>
  </si>
  <si>
    <t>Kehikon käyttötarkoitus:</t>
  </si>
  <si>
    <t>kehitystä pidemmällä aikavälillä. Tarkastelun kohteena ovat kunnan tuloslaskelma, rahoituslaskelmasta rahavarat, antolainat ja</t>
  </si>
  <si>
    <t xml:space="preserve">investoinnit sekä taseesta lainat ja kertynyt yli-/alijäämä. Pohjatietoina kehikossa ovat 2 viimeksi </t>
  </si>
  <si>
    <t>Myös tuloveroprosenttia, investointeja ja antolainasaamisten määrää voidaan muuttaa.</t>
  </si>
  <si>
    <t>Kehikon laskentapohja:</t>
  </si>
  <si>
    <t>Muiden tuloslaskelman erien on oletettu edellisvuoden mukaisesti, mutta käyttäjä voi muokata niitä haluamikseen.</t>
  </si>
  <si>
    <t xml:space="preserve">Kehikossa tuloslaskelma "päätyy" taseen kertyneeseen yli-/alijäämään, jolloin voidaan tarkastella esim. milloin kunnan mahdollinen </t>
  </si>
  <si>
    <t xml:space="preserve">Investoinnit ja niihin liittyvät rahoitusosuudet sekä pysyvien vastaavien luovutustulot ovat lähtökohtaisesti viimeksi toteutuneen </t>
  </si>
  <si>
    <t>tilinpäätöksen mukaiset, mutta ne ovat myös muutettavissa.</t>
  </si>
  <si>
    <r>
      <t xml:space="preserve">Kehikossa ns. </t>
    </r>
    <r>
      <rPr>
        <b/>
        <i/>
        <sz val="10"/>
        <rFont val="Arial"/>
        <family val="2"/>
      </rPr>
      <t>bruttorahoitustarve</t>
    </r>
    <r>
      <rPr>
        <sz val="10"/>
        <rFont val="Arial"/>
        <family val="2"/>
      </rPr>
      <t xml:space="preserve"> katetaan joko lainanlisäyksellä tai/ja rahavarojen purulla. Käyttäjä voi valita prosenttiosuuden,</t>
    </r>
  </si>
  <si>
    <t>jolla rahavaroja käytetään bruttorahoitustarpeen kattamiseen. Mikäli rahavaroja ei ole, tarve katetaan kaikkiaan lainanlisäyksellä.</t>
  </si>
  <si>
    <t>Bruttorahoitustarve voi olla myös positiivinen, jolloin "ylijäämä" lisää rahavaroja.</t>
  </si>
  <si>
    <r>
      <t xml:space="preserve">Bruttorahoitustarve </t>
    </r>
    <r>
      <rPr>
        <sz val="10"/>
        <rFont val="Arial"/>
        <family val="2"/>
      </rPr>
      <t>muodostuu seuraavista eristä = Vuosikate + tulorahoituksen korjauserät + satunnaiset erät, netto + investoinnit,</t>
    </r>
  </si>
  <si>
    <t>netto + antolainasaamisten muutokset, netto + lainanlyhennykset. Bruttorahoitustarve voi olla myös positiivinen, jolloin "ylijäämä"</t>
  </si>
  <si>
    <t xml:space="preserve">tehdään aina, vaikka bruttorahoitustarve olisi negatiivinen. </t>
  </si>
  <si>
    <t>Vuorovaikutteinen kunnan talouden suunnittelun apuväline. Kehikon avulla voidaan suunnitella kunnan talouden</t>
  </si>
  <si>
    <t xml:space="preserve">Vöyri </t>
  </si>
  <si>
    <t>Harkvar10</t>
  </si>
  <si>
    <t>Valtiovarainministeriö/Kunta- ja aluehallinto-osasto/vjl</t>
  </si>
  <si>
    <t>Lisätietoja: Neuvotteleva virkamies Vesa Lappalainen, puh. 02955  30389, etunimi.sukunimi@vm.fi</t>
  </si>
  <si>
    <t>Parainen</t>
  </si>
  <si>
    <t>Muokkaa vaaleansinisellä olevia kohtia.</t>
  </si>
  <si>
    <t>Satu. tuotot</t>
  </si>
  <si>
    <t>Satu. kulut</t>
  </si>
  <si>
    <t>Nettoinv.</t>
  </si>
  <si>
    <t>Inv.hyödyk. luovutustulot</t>
  </si>
  <si>
    <t>Rahoitusos. inv.menoihin</t>
  </si>
  <si>
    <t xml:space="preserve">Asukasluku </t>
  </si>
  <si>
    <t>Asukasluku</t>
  </si>
  <si>
    <t xml:space="preserve">valmistunutta tilinpäätöstä. </t>
  </si>
  <si>
    <t>Tulevan kehityksen osalta tuloslaskelman erien kasvuolettamukset pohjautuvat lähtökohtaisesti</t>
  </si>
  <si>
    <r>
      <t xml:space="preserve">Toimintatuotot </t>
    </r>
    <r>
      <rPr>
        <sz val="8"/>
        <rFont val="Arial"/>
        <family val="2"/>
      </rPr>
      <t>(sis. valm. okäytt.)</t>
    </r>
  </si>
  <si>
    <t>antolainauksen muutokset</t>
  </si>
  <si>
    <t>Antolainauksen muutokset</t>
  </si>
  <si>
    <t>VALTIOVARAINMINISTERIÖ/Kunta- ja aluehallinto-osasto/vjl</t>
  </si>
  <si>
    <t>KOKO MAA (Manner-Suomi)</t>
  </si>
  <si>
    <t>kasvuoletus</t>
  </si>
  <si>
    <t>pääoletuksena samat arvot kuin v. 2023 &gt;</t>
  </si>
  <si>
    <t>TP 2019</t>
  </si>
  <si>
    <t>Väestöennuste TK 2019</t>
  </si>
  <si>
    <t>osalta asukaslukutiedot perustuvat tilastokeskuksen viimeisimpään väestöennusteeseen (TK, 2019).</t>
  </si>
  <si>
    <t>Väestöennuste 2019 (Tilastokeskus) kunnittain 2020-2029</t>
  </si>
  <si>
    <t>2020 kuntajako</t>
  </si>
  <si>
    <t xml:space="preserve">TK, 28.9.2019 </t>
  </si>
  <si>
    <t>Suunnittelukehikossa ei ole voitu ottaa koronan vaikutuksia täysimääräisesti valtionosuuksiin tai verotuloihin</t>
  </si>
  <si>
    <t xml:space="preserve">      %-korotus --&gt;</t>
  </si>
  <si>
    <t>prosentit syötetään</t>
  </si>
  <si>
    <t>alla olevaan taulukkoon</t>
  </si>
  <si>
    <t>Näiden erien muutos-</t>
  </si>
  <si>
    <t>TP 2020</t>
  </si>
  <si>
    <t>Kunnat vuoden 2021 kuntajaolla</t>
  </si>
  <si>
    <t>Nettoinv. 2019</t>
  </si>
  <si>
    <t>Rahavarat 2019</t>
  </si>
  <si>
    <t>Lainakanta  2019</t>
  </si>
  <si>
    <t>vos-hava 2020</t>
  </si>
  <si>
    <t>Rahavarat  2020</t>
  </si>
  <si>
    <t>Lainakanta 2020</t>
  </si>
  <si>
    <t xml:space="preserve"> 2019/2020</t>
  </si>
  <si>
    <t>Vuosien 2021 - 2030</t>
  </si>
  <si>
    <t>pohjana KTO:n kevät/2021</t>
  </si>
  <si>
    <t>vuosien 2021 ja 2022 kohdalla, myöskään erilaisten tukipakettien lopullinen kunta-arvio ei ole selvillä</t>
  </si>
  <si>
    <t>Tuloveroprosentti perustuu viimeksi vahvistettuun tietoon (tässä vuoden 2021 veroprosentti). Tulevien vuosien osalta</t>
  </si>
  <si>
    <t>2019 ja 2020. Tuloslaskelman keskeisten erien tulevien vuosien kasvuprosentit perustuvat lähtökohtaisesti</t>
  </si>
  <si>
    <t xml:space="preserve">kuntatalousohjelman (KTO 2022-2025, VM, toukokuu 2021) mukaisiin makroennusteisiin eli kasvuprosentit </t>
  </si>
  <si>
    <t xml:space="preserve">uusimman valtion kuntatalousohjelman (toukokuu 2021) mukaisiin makroarviolukuihin - ei kuntakohtaisiin ennusteisiin. </t>
  </si>
  <si>
    <t>Kunnan asukaslukuina käytetään lähtökohtaisesti viimeisintä väestötietoa (tässä 31.12.2020). Tulevien vuosien</t>
  </si>
  <si>
    <r>
      <t>6) valtionosuudet (tässä päätösten mukaan vuonna 2021)</t>
    </r>
    <r>
      <rPr>
        <b/>
        <sz val="9"/>
        <rFont val="Arial"/>
        <family val="2"/>
      </rPr>
      <t xml:space="preserve">. </t>
    </r>
  </si>
  <si>
    <t>Valtionosuudet 2021 VM:n laskelma kesäkuu 2021, vos 2022-2025 VM:n arviolaskelma</t>
  </si>
  <si>
    <t xml:space="preserve">%-vähennys </t>
  </si>
  <si>
    <t>TULOSLASKELMAN ERIEN KASVUPROSENTIT (käytössä Kuntatalousohjelma 2022-2025, toukokuu 2021):</t>
  </si>
  <si>
    <t xml:space="preserve">Tämä ei ole kuntakohtainen ennuste, vaan apuväline kunnalle tulevan kehityksen </t>
  </si>
  <si>
    <t>ja kunnassa suoritettavien eri toimenpiteiden talousarviointiin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</si>
</sst>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#,##0\ &quot;€&quot;;[Red]\-#,##0\ &quot;€&quot;"/>
    <numFmt numFmtId="164" formatCode="_-* #,##0.00\ _€_-;\-* #,##0.00\ _€_-;_-* &quot;-&quot;??\ _€_-;_-@_-"/>
    <numFmt numFmtId="165" formatCode="0.000"/>
    <numFmt numFmtId="166" formatCode="#,##0.0"/>
    <numFmt numFmtId="167" formatCode="#,##0_ ;[Red]\-#,##0\ "/>
    <numFmt numFmtId="168" formatCode="#,##0.0_ ;[Red]\-#,##0.0\ "/>
    <numFmt numFmtId="169" formatCode="#,##0.00_ ;[Red]\-#,##0.00\ "/>
    <numFmt numFmtId="170" formatCode="[$€]#,##0.00_);[Red]\([$€]#,##0.00\)"/>
    <numFmt numFmtId="171" formatCode="#,##0.000_ ;[Red]\-#,##0.000\ "/>
    <numFmt numFmtId="172" formatCode="#,##0.000"/>
  </numFmts>
  <fonts count="43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8"/>
      <color indexed="10"/>
      <name val="Arial"/>
      <family val="2"/>
    </font>
    <font>
      <b/>
      <u/>
      <sz val="9"/>
      <name val="Arial"/>
      <family val="2"/>
    </font>
    <font>
      <b/>
      <sz val="12"/>
      <name val="Arial"/>
      <family val="2"/>
    </font>
    <font>
      <sz val="8"/>
      <color indexed="9"/>
      <name val="Arial"/>
      <family val="2"/>
    </font>
    <font>
      <b/>
      <i/>
      <sz val="8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6"/>
      <name val="Arial"/>
      <family val="2"/>
    </font>
    <font>
      <sz val="12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b/>
      <u/>
      <sz val="8"/>
      <name val="Arial"/>
      <family val="2"/>
    </font>
    <font>
      <i/>
      <sz val="8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4"/>
      <color indexed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9CCF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1" fillId="0" borderId="0"/>
  </cellStyleXfs>
  <cellXfs count="519">
    <xf numFmtId="0" fontId="0" fillId="0" borderId="0" xfId="0"/>
    <xf numFmtId="0" fontId="1" fillId="0" borderId="0" xfId="0" applyFont="1"/>
    <xf numFmtId="0" fontId="5" fillId="0" borderId="0" xfId="0" applyFont="1"/>
    <xf numFmtId="0" fontId="3" fillId="0" borderId="0" xfId="0" applyFont="1"/>
    <xf numFmtId="0" fontId="10" fillId="0" borderId="0" xfId="0" applyFont="1"/>
    <xf numFmtId="0" fontId="8" fillId="0" borderId="0" xfId="0" applyFont="1"/>
    <xf numFmtId="0" fontId="4" fillId="0" borderId="0" xfId="0" applyFont="1"/>
    <xf numFmtId="3" fontId="14" fillId="0" borderId="0" xfId="0" applyNumberFormat="1" applyFont="1" applyAlignment="1" applyProtection="1">
      <alignment horizontal="right"/>
      <protection locked="0"/>
    </xf>
    <xf numFmtId="0" fontId="14" fillId="0" borderId="0" xfId="0" applyNumberFormat="1" applyFont="1" applyAlignment="1" applyProtection="1">
      <alignment horizontal="right"/>
      <protection locked="0"/>
    </xf>
    <xf numFmtId="0" fontId="15" fillId="0" borderId="0" xfId="0" applyFont="1"/>
    <xf numFmtId="3" fontId="14" fillId="0" borderId="0" xfId="0" applyNumberFormat="1" applyFont="1"/>
    <xf numFmtId="0" fontId="14" fillId="0" borderId="0" xfId="0" applyFont="1"/>
    <xf numFmtId="167" fontId="4" fillId="0" borderId="0" xfId="0" applyNumberFormat="1" applyFont="1"/>
    <xf numFmtId="0" fontId="1" fillId="2" borderId="0" xfId="0" applyFont="1" applyFill="1"/>
    <xf numFmtId="3" fontId="5" fillId="2" borderId="1" xfId="0" applyNumberFormat="1" applyFont="1" applyFill="1" applyBorder="1"/>
    <xf numFmtId="3" fontId="5" fillId="2" borderId="2" xfId="0" applyNumberFormat="1" applyFont="1" applyFill="1" applyBorder="1"/>
    <xf numFmtId="3" fontId="5" fillId="3" borderId="0" xfId="0" applyNumberFormat="1" applyFont="1" applyFill="1"/>
    <xf numFmtId="0" fontId="3" fillId="3" borderId="0" xfId="0" applyFont="1" applyFill="1"/>
    <xf numFmtId="0" fontId="5" fillId="3" borderId="0" xfId="0" applyFont="1" applyFill="1"/>
    <xf numFmtId="167" fontId="3" fillId="3" borderId="0" xfId="0" applyNumberFormat="1" applyFont="1" applyFill="1"/>
    <xf numFmtId="2" fontId="3" fillId="3" borderId="3" xfId="0" applyNumberFormat="1" applyFont="1" applyFill="1" applyBorder="1"/>
    <xf numFmtId="2" fontId="3" fillId="3" borderId="4" xfId="0" applyNumberFormat="1" applyFont="1" applyFill="1" applyBorder="1"/>
    <xf numFmtId="2" fontId="5" fillId="3" borderId="3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3" fillId="3" borderId="5" xfId="0" applyNumberFormat="1" applyFont="1" applyFill="1" applyBorder="1"/>
    <xf numFmtId="167" fontId="5" fillId="3" borderId="0" xfId="0" applyNumberFormat="1" applyFont="1" applyFill="1"/>
    <xf numFmtId="2" fontId="10" fillId="3" borderId="5" xfId="0" applyNumberFormat="1" applyFont="1" applyFill="1" applyBorder="1" applyAlignment="1">
      <alignment horizontal="center"/>
    </xf>
    <xf numFmtId="0" fontId="1" fillId="3" borderId="0" xfId="0" applyFont="1" applyFill="1"/>
    <xf numFmtId="2" fontId="9" fillId="3" borderId="0" xfId="0" applyNumberFormat="1" applyFont="1" applyFill="1" applyBorder="1"/>
    <xf numFmtId="0" fontId="1" fillId="3" borderId="0" xfId="0" applyFont="1" applyFill="1" applyBorder="1"/>
    <xf numFmtId="0" fontId="4" fillId="3" borderId="0" xfId="0" applyNumberFormat="1" applyFont="1" applyFill="1" applyAlignment="1" applyProtection="1">
      <alignment horizontal="right"/>
      <protection locked="0"/>
    </xf>
    <xf numFmtId="0" fontId="7" fillId="3" borderId="0" xfId="0" applyFont="1" applyFill="1"/>
    <xf numFmtId="0" fontId="0" fillId="3" borderId="0" xfId="0" applyFill="1"/>
    <xf numFmtId="4" fontId="1" fillId="3" borderId="0" xfId="0" applyNumberFormat="1" applyFont="1" applyFill="1" applyBorder="1"/>
    <xf numFmtId="0" fontId="14" fillId="3" borderId="0" xfId="0" applyNumberFormat="1" applyFont="1" applyFill="1" applyBorder="1" applyAlignment="1" applyProtection="1">
      <alignment horizontal="right"/>
      <protection locked="0"/>
    </xf>
    <xf numFmtId="3" fontId="14" fillId="3" borderId="0" xfId="0" applyNumberFormat="1" applyFont="1" applyFill="1" applyBorder="1" applyAlignment="1" applyProtection="1">
      <alignment horizontal="right"/>
      <protection locked="0"/>
    </xf>
    <xf numFmtId="0" fontId="14" fillId="3" borderId="0" xfId="0" applyFont="1" applyFill="1" applyBorder="1"/>
    <xf numFmtId="3" fontId="14" fillId="3" borderId="0" xfId="0" applyNumberFormat="1" applyFont="1" applyFill="1" applyBorder="1"/>
    <xf numFmtId="2" fontId="14" fillId="3" borderId="0" xfId="0" applyNumberFormat="1" applyFont="1" applyFill="1" applyBorder="1"/>
    <xf numFmtId="167" fontId="14" fillId="3" borderId="0" xfId="0" applyNumberFormat="1" applyFont="1" applyFill="1" applyBorder="1"/>
    <xf numFmtId="4" fontId="11" fillId="3" borderId="0" xfId="0" applyNumberFormat="1" applyFont="1" applyFill="1"/>
    <xf numFmtId="4" fontId="5" fillId="3" borderId="0" xfId="0" applyNumberFormat="1" applyFont="1" applyFill="1"/>
    <xf numFmtId="0" fontId="15" fillId="3" borderId="0" xfId="0" applyFont="1" applyFill="1" applyBorder="1"/>
    <xf numFmtId="0" fontId="4" fillId="3" borderId="0" xfId="0" applyFont="1" applyFill="1"/>
    <xf numFmtId="167" fontId="0" fillId="3" borderId="0" xfId="0" applyNumberFormat="1" applyFill="1"/>
    <xf numFmtId="167" fontId="8" fillId="3" borderId="0" xfId="0" applyNumberFormat="1" applyFont="1" applyFill="1"/>
    <xf numFmtId="0" fontId="10" fillId="3" borderId="0" xfId="0" applyFont="1" applyFill="1"/>
    <xf numFmtId="167" fontId="10" fillId="3" borderId="0" xfId="0" applyNumberFormat="1" applyFont="1" applyFill="1"/>
    <xf numFmtId="2" fontId="17" fillId="3" borderId="4" xfId="0" applyNumberFormat="1" applyFont="1" applyFill="1" applyBorder="1"/>
    <xf numFmtId="2" fontId="17" fillId="3" borderId="4" xfId="0" applyNumberFormat="1" applyFont="1" applyFill="1" applyBorder="1" applyAlignment="1">
      <alignment horizontal="center"/>
    </xf>
    <xf numFmtId="2" fontId="17" fillId="3" borderId="5" xfId="0" applyNumberFormat="1" applyFont="1" applyFill="1" applyBorder="1"/>
    <xf numFmtId="167" fontId="10" fillId="3" borderId="0" xfId="0" applyNumberFormat="1" applyFont="1" applyFill="1" applyBorder="1"/>
    <xf numFmtId="167" fontId="5" fillId="3" borderId="0" xfId="0" applyNumberFormat="1" applyFont="1" applyFill="1" applyBorder="1"/>
    <xf numFmtId="2" fontId="10" fillId="3" borderId="0" xfId="0" applyNumberFormat="1" applyFont="1" applyFill="1" applyBorder="1" applyAlignment="1">
      <alignment horizontal="center"/>
    </xf>
    <xf numFmtId="2" fontId="19" fillId="3" borderId="0" xfId="0" applyNumberFormat="1" applyFont="1" applyFill="1" applyBorder="1"/>
    <xf numFmtId="14" fontId="1" fillId="3" borderId="0" xfId="0" applyNumberFormat="1" applyFont="1" applyFill="1"/>
    <xf numFmtId="3" fontId="8" fillId="3" borderId="0" xfId="0" applyNumberFormat="1" applyFont="1" applyFill="1" applyBorder="1" applyProtection="1">
      <protection hidden="1"/>
    </xf>
    <xf numFmtId="4" fontId="3" fillId="2" borderId="7" xfId="0" applyNumberFormat="1" applyFont="1" applyFill="1" applyBorder="1" applyProtection="1">
      <protection locked="0"/>
    </xf>
    <xf numFmtId="4" fontId="3" fillId="2" borderId="8" xfId="0" applyNumberFormat="1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left"/>
      <protection locked="0"/>
    </xf>
    <xf numFmtId="0" fontId="5" fillId="3" borderId="0" xfId="0" applyFont="1" applyFill="1" applyProtection="1">
      <protection hidden="1"/>
    </xf>
    <xf numFmtId="167" fontId="3" fillId="3" borderId="9" xfId="0" applyNumberFormat="1" applyFont="1" applyFill="1" applyBorder="1" applyProtection="1">
      <protection hidden="1"/>
    </xf>
    <xf numFmtId="167" fontId="3" fillId="3" borderId="1" xfId="0" applyNumberFormat="1" applyFont="1" applyFill="1" applyBorder="1" applyProtection="1">
      <protection hidden="1"/>
    </xf>
    <xf numFmtId="167" fontId="3" fillId="3" borderId="2" xfId="0" applyNumberFormat="1" applyFont="1" applyFill="1" applyBorder="1" applyProtection="1">
      <protection hidden="1"/>
    </xf>
    <xf numFmtId="167" fontId="3" fillId="3" borderId="6" xfId="0" applyNumberFormat="1" applyFont="1" applyFill="1" applyBorder="1" applyProtection="1">
      <protection hidden="1"/>
    </xf>
    <xf numFmtId="167" fontId="3" fillId="3" borderId="0" xfId="0" applyNumberFormat="1" applyFont="1" applyFill="1" applyBorder="1" applyProtection="1">
      <protection hidden="1"/>
    </xf>
    <xf numFmtId="167" fontId="3" fillId="3" borderId="10" xfId="0" applyNumberFormat="1" applyFont="1" applyFill="1" applyBorder="1" applyProtection="1">
      <protection hidden="1"/>
    </xf>
    <xf numFmtId="167" fontId="3" fillId="3" borderId="11" xfId="0" applyNumberFormat="1" applyFont="1" applyFill="1" applyBorder="1" applyProtection="1">
      <protection hidden="1"/>
    </xf>
    <xf numFmtId="167" fontId="5" fillId="3" borderId="12" xfId="0" applyNumberFormat="1" applyFont="1" applyFill="1" applyBorder="1" applyProtection="1">
      <protection hidden="1"/>
    </xf>
    <xf numFmtId="167" fontId="5" fillId="3" borderId="13" xfId="0" applyNumberFormat="1" applyFont="1" applyFill="1" applyBorder="1" applyProtection="1">
      <protection hidden="1"/>
    </xf>
    <xf numFmtId="167" fontId="8" fillId="3" borderId="9" xfId="0" applyNumberFormat="1" applyFont="1" applyFill="1" applyBorder="1" applyProtection="1">
      <protection hidden="1"/>
    </xf>
    <xf numFmtId="167" fontId="8" fillId="3" borderId="1" xfId="0" applyNumberFormat="1" applyFont="1" applyFill="1" applyBorder="1" applyProtection="1">
      <protection hidden="1"/>
    </xf>
    <xf numFmtId="167" fontId="8" fillId="3" borderId="2" xfId="0" applyNumberFormat="1" applyFont="1" applyFill="1" applyBorder="1" applyProtection="1">
      <protection hidden="1"/>
    </xf>
    <xf numFmtId="167" fontId="8" fillId="3" borderId="6" xfId="0" applyNumberFormat="1" applyFont="1" applyFill="1" applyBorder="1" applyProtection="1">
      <protection hidden="1"/>
    </xf>
    <xf numFmtId="167" fontId="3" fillId="3" borderId="12" xfId="0" applyNumberFormat="1" applyFont="1" applyFill="1" applyBorder="1" applyProtection="1">
      <protection hidden="1"/>
    </xf>
    <xf numFmtId="167" fontId="3" fillId="3" borderId="13" xfId="0" applyNumberFormat="1" applyFont="1" applyFill="1" applyBorder="1" applyProtection="1">
      <protection hidden="1"/>
    </xf>
    <xf numFmtId="167" fontId="10" fillId="3" borderId="11" xfId="0" applyNumberFormat="1" applyFont="1" applyFill="1" applyBorder="1" applyProtection="1">
      <protection hidden="1"/>
    </xf>
    <xf numFmtId="167" fontId="10" fillId="3" borderId="12" xfId="0" applyNumberFormat="1" applyFont="1" applyFill="1" applyBorder="1" applyProtection="1">
      <protection hidden="1"/>
    </xf>
    <xf numFmtId="167" fontId="10" fillId="3" borderId="13" xfId="0" applyNumberFormat="1" applyFont="1" applyFill="1" applyBorder="1" applyProtection="1">
      <protection hidden="1"/>
    </xf>
    <xf numFmtId="4" fontId="3" fillId="3" borderId="14" xfId="0" applyNumberFormat="1" applyFont="1" applyFill="1" applyBorder="1" applyProtection="1">
      <protection hidden="1"/>
    </xf>
    <xf numFmtId="168" fontId="3" fillId="3" borderId="6" xfId="0" applyNumberFormat="1" applyFont="1" applyFill="1" applyBorder="1" applyProtection="1">
      <protection hidden="1"/>
    </xf>
    <xf numFmtId="168" fontId="3" fillId="3" borderId="11" xfId="0" applyNumberFormat="1" applyFont="1" applyFill="1" applyBorder="1" applyProtection="1">
      <protection hidden="1"/>
    </xf>
    <xf numFmtId="3" fontId="3" fillId="3" borderId="11" xfId="0" applyNumberFormat="1" applyFont="1" applyFill="1" applyBorder="1" applyProtection="1">
      <protection hidden="1"/>
    </xf>
    <xf numFmtId="167" fontId="5" fillId="3" borderId="11" xfId="0" applyNumberFormat="1" applyFont="1" applyFill="1" applyBorder="1" applyProtection="1">
      <protection hidden="1"/>
    </xf>
    <xf numFmtId="3" fontId="1" fillId="3" borderId="0" xfId="0" applyNumberFormat="1" applyFont="1" applyFill="1"/>
    <xf numFmtId="165" fontId="1" fillId="3" borderId="0" xfId="0" applyNumberFormat="1" applyFont="1" applyFill="1"/>
    <xf numFmtId="167" fontId="3" fillId="3" borderId="3" xfId="0" applyNumberFormat="1" applyFont="1" applyFill="1" applyBorder="1" applyProtection="1">
      <protection hidden="1"/>
    </xf>
    <xf numFmtId="2" fontId="21" fillId="3" borderId="5" xfId="0" applyNumberFormat="1" applyFont="1" applyFill="1" applyBorder="1"/>
    <xf numFmtId="167" fontId="10" fillId="3" borderId="5" xfId="0" applyNumberFormat="1" applyFont="1" applyFill="1" applyBorder="1" applyProtection="1">
      <protection hidden="1"/>
    </xf>
    <xf numFmtId="167" fontId="1" fillId="3" borderId="0" xfId="0" applyNumberFormat="1" applyFont="1" applyFill="1"/>
    <xf numFmtId="167" fontId="5" fillId="3" borderId="0" xfId="0" applyNumberFormat="1" applyFont="1" applyFill="1" applyProtection="1">
      <protection hidden="1"/>
    </xf>
    <xf numFmtId="171" fontId="1" fillId="3" borderId="0" xfId="0" applyNumberFormat="1" applyFont="1" applyFill="1"/>
    <xf numFmtId="169" fontId="5" fillId="3" borderId="0" xfId="0" applyNumberFormat="1" applyFont="1" applyFill="1"/>
    <xf numFmtId="1" fontId="0" fillId="3" borderId="0" xfId="0" applyNumberFormat="1" applyFill="1"/>
    <xf numFmtId="3" fontId="5" fillId="3" borderId="0" xfId="0" applyNumberFormat="1" applyFont="1" applyFill="1" applyBorder="1"/>
    <xf numFmtId="2" fontId="22" fillId="3" borderId="0" xfId="0" applyNumberFormat="1" applyFont="1" applyFill="1" applyBorder="1" applyAlignment="1">
      <alignment horizontal="left"/>
    </xf>
    <xf numFmtId="167" fontId="3" fillId="3" borderId="4" xfId="0" applyNumberFormat="1" applyFont="1" applyFill="1" applyBorder="1" applyProtection="1">
      <protection hidden="1"/>
    </xf>
    <xf numFmtId="3" fontId="5" fillId="3" borderId="0" xfId="0" applyNumberFormat="1" applyFont="1" applyFill="1" applyProtection="1">
      <protection hidden="1"/>
    </xf>
    <xf numFmtId="167" fontId="5" fillId="2" borderId="1" xfId="0" applyNumberFormat="1" applyFont="1" applyFill="1" applyBorder="1" applyProtection="1">
      <protection locked="0"/>
    </xf>
    <xf numFmtId="167" fontId="5" fillId="2" borderId="2" xfId="0" applyNumberFormat="1" applyFont="1" applyFill="1" applyBorder="1" applyProtection="1">
      <protection locked="0"/>
    </xf>
    <xf numFmtId="167" fontId="5" fillId="2" borderId="0" xfId="0" applyNumberFormat="1" applyFont="1" applyFill="1" applyBorder="1" applyProtection="1">
      <protection locked="0"/>
    </xf>
    <xf numFmtId="167" fontId="5" fillId="2" borderId="10" xfId="0" applyNumberFormat="1" applyFont="1" applyFill="1" applyBorder="1" applyProtection="1">
      <protection locked="0"/>
    </xf>
    <xf numFmtId="167" fontId="5" fillId="2" borderId="12" xfId="0" applyNumberFormat="1" applyFont="1" applyFill="1" applyBorder="1" applyProtection="1">
      <protection locked="0"/>
    </xf>
    <xf numFmtId="167" fontId="5" fillId="2" borderId="13" xfId="0" applyNumberFormat="1" applyFont="1" applyFill="1" applyBorder="1" applyProtection="1">
      <protection locked="0"/>
    </xf>
    <xf numFmtId="0" fontId="12" fillId="0" borderId="0" xfId="0" applyFont="1"/>
    <xf numFmtId="0" fontId="23" fillId="3" borderId="0" xfId="0" applyFont="1" applyFill="1"/>
    <xf numFmtId="0" fontId="3" fillId="3" borderId="0" xfId="0" applyFont="1" applyFill="1" applyProtection="1">
      <protection locked="0"/>
    </xf>
    <xf numFmtId="3" fontId="10" fillId="3" borderId="12" xfId="0" applyNumberFormat="1" applyFont="1" applyFill="1" applyBorder="1" applyProtection="1">
      <protection hidden="1"/>
    </xf>
    <xf numFmtId="3" fontId="10" fillId="3" borderId="13" xfId="0" applyNumberFormat="1" applyFont="1" applyFill="1" applyBorder="1" applyProtection="1">
      <protection hidden="1"/>
    </xf>
    <xf numFmtId="3" fontId="5" fillId="3" borderId="0" xfId="0" applyNumberFormat="1" applyFont="1" applyFill="1" applyBorder="1" applyProtection="1">
      <protection hidden="1"/>
    </xf>
    <xf numFmtId="3" fontId="3" fillId="3" borderId="0" xfId="0" applyNumberFormat="1" applyFont="1" applyFill="1" applyProtection="1">
      <protection hidden="1"/>
    </xf>
    <xf numFmtId="3" fontId="20" fillId="3" borderId="0" xfId="0" applyNumberFormat="1" applyFont="1" applyFill="1" applyProtection="1">
      <protection hidden="1"/>
    </xf>
    <xf numFmtId="3" fontId="20" fillId="3" borderId="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0" fontId="5" fillId="3" borderId="0" xfId="0" applyFont="1" applyFill="1" applyAlignment="1" applyProtection="1">
      <alignment horizontal="right"/>
      <protection hidden="1"/>
    </xf>
    <xf numFmtId="6" fontId="5" fillId="3" borderId="0" xfId="0" applyNumberFormat="1" applyFont="1" applyFill="1" applyProtection="1">
      <protection hidden="1"/>
    </xf>
    <xf numFmtId="3" fontId="6" fillId="3" borderId="0" xfId="0" applyNumberFormat="1" applyFont="1" applyFill="1" applyProtection="1">
      <protection hidden="1"/>
    </xf>
    <xf numFmtId="3" fontId="6" fillId="3" borderId="0" xfId="0" applyNumberFormat="1" applyFont="1" applyFill="1" applyBorder="1" applyAlignment="1" applyProtection="1">
      <alignment horizontal="right"/>
      <protection hidden="1"/>
    </xf>
    <xf numFmtId="3" fontId="1" fillId="3" borderId="0" xfId="0" applyNumberFormat="1" applyFont="1" applyFill="1" applyProtection="1">
      <protection hidden="1"/>
    </xf>
    <xf numFmtId="167" fontId="5" fillId="3" borderId="0" xfId="0" applyNumberFormat="1" applyFont="1" applyFill="1" applyBorder="1" applyProtection="1">
      <protection hidden="1"/>
    </xf>
    <xf numFmtId="167" fontId="5" fillId="3" borderId="10" xfId="0" applyNumberFormat="1" applyFont="1" applyFill="1" applyBorder="1" applyProtection="1">
      <protection hidden="1"/>
    </xf>
    <xf numFmtId="0" fontId="12" fillId="3" borderId="0" xfId="0" applyFont="1" applyFill="1" applyProtection="1">
      <protection hidden="1"/>
    </xf>
    <xf numFmtId="14" fontId="1" fillId="3" borderId="0" xfId="0" applyNumberFormat="1" applyFont="1" applyFill="1" applyProtection="1">
      <protection hidden="1"/>
    </xf>
    <xf numFmtId="0" fontId="9" fillId="3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167" fontId="17" fillId="3" borderId="0" xfId="0" applyNumberFormat="1" applyFont="1" applyFill="1"/>
    <xf numFmtId="0" fontId="2" fillId="3" borderId="0" xfId="0" applyFont="1" applyFill="1" applyProtection="1">
      <protection hidden="1"/>
    </xf>
    <xf numFmtId="0" fontId="22" fillId="3" borderId="0" xfId="0" applyFont="1" applyFill="1" applyProtection="1">
      <protection hidden="1"/>
    </xf>
    <xf numFmtId="0" fontId="24" fillId="3" borderId="0" xfId="0" applyFont="1" applyFill="1" applyProtection="1">
      <protection hidden="1"/>
    </xf>
    <xf numFmtId="172" fontId="5" fillId="3" borderId="0" xfId="0" applyNumberFormat="1" applyFont="1" applyFill="1" applyBorder="1"/>
    <xf numFmtId="0" fontId="8" fillId="3" borderId="0" xfId="0" applyFont="1" applyFill="1"/>
    <xf numFmtId="0" fontId="25" fillId="3" borderId="0" xfId="0" applyFont="1" applyFill="1"/>
    <xf numFmtId="0" fontId="4" fillId="3" borderId="4" xfId="0" applyNumberFormat="1" applyFont="1" applyFill="1" applyBorder="1" applyAlignment="1" applyProtection="1">
      <alignment horizontal="right"/>
      <protection locked="0"/>
    </xf>
    <xf numFmtId="3" fontId="3" fillId="3" borderId="5" xfId="0" applyNumberFormat="1" applyFont="1" applyFill="1" applyBorder="1" applyProtection="1">
      <protection hidden="1"/>
    </xf>
    <xf numFmtId="4" fontId="3" fillId="3" borderId="15" xfId="0" applyNumberFormat="1" applyFont="1" applyFill="1" applyBorder="1" applyProtection="1">
      <protection hidden="1"/>
    </xf>
    <xf numFmtId="3" fontId="5" fillId="3" borderId="5" xfId="0" applyNumberFormat="1" applyFont="1" applyFill="1" applyBorder="1" applyProtection="1">
      <protection hidden="1"/>
    </xf>
    <xf numFmtId="167" fontId="8" fillId="3" borderId="3" xfId="0" applyNumberFormat="1" applyFont="1" applyFill="1" applyBorder="1" applyProtection="1">
      <protection hidden="1"/>
    </xf>
    <xf numFmtId="167" fontId="8" fillId="3" borderId="4" xfId="0" applyNumberFormat="1" applyFont="1" applyFill="1" applyBorder="1" applyProtection="1">
      <protection hidden="1"/>
    </xf>
    <xf numFmtId="167" fontId="3" fillId="3" borderId="5" xfId="0" applyNumberFormat="1" applyFont="1" applyFill="1" applyBorder="1" applyProtection="1">
      <protection hidden="1"/>
    </xf>
    <xf numFmtId="167" fontId="8" fillId="3" borderId="5" xfId="0" applyNumberFormat="1" applyFont="1" applyFill="1" applyBorder="1" applyProtection="1">
      <protection hidden="1"/>
    </xf>
    <xf numFmtId="3" fontId="18" fillId="2" borderId="9" xfId="0" applyNumberFormat="1" applyFont="1" applyFill="1" applyBorder="1"/>
    <xf numFmtId="3" fontId="10" fillId="3" borderId="11" xfId="0" applyNumberFormat="1" applyFont="1" applyFill="1" applyBorder="1" applyProtection="1">
      <protection hidden="1"/>
    </xf>
    <xf numFmtId="3" fontId="10" fillId="3" borderId="9" xfId="0" applyNumberFormat="1" applyFont="1" applyFill="1" applyBorder="1" applyProtection="1">
      <protection hidden="1"/>
    </xf>
    <xf numFmtId="3" fontId="10" fillId="2" borderId="1" xfId="0" applyNumberFormat="1" applyFont="1" applyFill="1" applyBorder="1"/>
    <xf numFmtId="168" fontId="10" fillId="3" borderId="0" xfId="0" applyNumberFormat="1" applyFont="1" applyFill="1" applyBorder="1"/>
    <xf numFmtId="0" fontId="4" fillId="0" borderId="0" xfId="0" applyNumberFormat="1" applyFont="1" applyFill="1" applyAlignment="1" applyProtection="1">
      <alignment horizontal="right"/>
      <protection locked="0"/>
    </xf>
    <xf numFmtId="3" fontId="1" fillId="3" borderId="11" xfId="0" applyNumberFormat="1" applyFont="1" applyFill="1" applyBorder="1" applyProtection="1">
      <protection hidden="1"/>
    </xf>
    <xf numFmtId="167" fontId="1" fillId="3" borderId="11" xfId="0" applyNumberFormat="1" applyFont="1" applyFill="1" applyBorder="1" applyProtection="1">
      <protection hidden="1"/>
    </xf>
    <xf numFmtId="167" fontId="8" fillId="3" borderId="11" xfId="0" applyNumberFormat="1" applyFont="1" applyFill="1" applyBorder="1" applyProtection="1">
      <protection hidden="1"/>
    </xf>
    <xf numFmtId="0" fontId="17" fillId="3" borderId="9" xfId="0" applyFont="1" applyFill="1" applyBorder="1" applyAlignment="1">
      <alignment horizontal="right"/>
    </xf>
    <xf numFmtId="167" fontId="1" fillId="3" borderId="0" xfId="0" applyNumberFormat="1" applyFont="1" applyFill="1" applyBorder="1"/>
    <xf numFmtId="3" fontId="1" fillId="3" borderId="0" xfId="0" applyNumberFormat="1" applyFont="1" applyFill="1" applyBorder="1"/>
    <xf numFmtId="0" fontId="1" fillId="3" borderId="0" xfId="0" applyFont="1" applyFill="1" applyProtection="1">
      <protection hidden="1"/>
    </xf>
    <xf numFmtId="167" fontId="10" fillId="0" borderId="11" xfId="0" applyNumberFormat="1" applyFont="1" applyFill="1" applyBorder="1" applyProtection="1">
      <protection hidden="1"/>
    </xf>
    <xf numFmtId="167" fontId="10" fillId="0" borderId="5" xfId="0" applyNumberFormat="1" applyFont="1" applyFill="1" applyBorder="1" applyProtection="1">
      <protection hidden="1"/>
    </xf>
    <xf numFmtId="168" fontId="3" fillId="0" borderId="4" xfId="0" applyNumberFormat="1" applyFont="1" applyFill="1" applyBorder="1" applyProtection="1">
      <protection hidden="1"/>
    </xf>
    <xf numFmtId="168" fontId="3" fillId="0" borderId="5" xfId="0" applyNumberFormat="1" applyFont="1" applyFill="1" applyBorder="1" applyProtection="1">
      <protection hidden="1"/>
    </xf>
    <xf numFmtId="167" fontId="12" fillId="3" borderId="0" xfId="0" applyNumberFormat="1" applyFont="1" applyFill="1"/>
    <xf numFmtId="0" fontId="5" fillId="0" borderId="0" xfId="0" applyFont="1" applyFill="1"/>
    <xf numFmtId="3" fontId="5" fillId="3" borderId="4" xfId="0" applyNumberFormat="1" applyFont="1" applyFill="1" applyBorder="1" applyProtection="1">
      <protection hidden="1"/>
    </xf>
    <xf numFmtId="167" fontId="5" fillId="3" borderId="4" xfId="0" applyNumberFormat="1" applyFont="1" applyFill="1" applyBorder="1" applyProtection="1">
      <protection hidden="1"/>
    </xf>
    <xf numFmtId="167" fontId="5" fillId="2" borderId="3" xfId="0" applyNumberFormat="1" applyFont="1" applyFill="1" applyBorder="1" applyProtection="1">
      <protection locked="0"/>
    </xf>
    <xf numFmtId="167" fontId="5" fillId="2" borderId="4" xfId="0" applyNumberFormat="1" applyFont="1" applyFill="1" applyBorder="1" applyProtection="1">
      <protection locked="0"/>
    </xf>
    <xf numFmtId="167" fontId="5" fillId="2" borderId="5" xfId="0" applyNumberFormat="1" applyFont="1" applyFill="1" applyBorder="1" applyProtection="1">
      <protection locked="0"/>
    </xf>
    <xf numFmtId="0" fontId="5" fillId="3" borderId="4" xfId="0" applyFont="1" applyFill="1" applyBorder="1" applyProtection="1">
      <protection hidden="1"/>
    </xf>
    <xf numFmtId="0" fontId="26" fillId="3" borderId="0" xfId="0" applyFont="1" applyFill="1" applyProtection="1">
      <protection hidden="1"/>
    </xf>
    <xf numFmtId="0" fontId="26" fillId="0" borderId="0" xfId="0" applyFont="1"/>
    <xf numFmtId="0" fontId="20" fillId="0" borderId="0" xfId="0" applyFont="1" applyFill="1"/>
    <xf numFmtId="0" fontId="20" fillId="0" borderId="0" xfId="0" applyFont="1"/>
    <xf numFmtId="0" fontId="28" fillId="3" borderId="0" xfId="0" applyFont="1" applyFill="1" applyProtection="1">
      <protection hidden="1"/>
    </xf>
    <xf numFmtId="0" fontId="6" fillId="0" borderId="0" xfId="0" applyFont="1"/>
    <xf numFmtId="0" fontId="6" fillId="3" borderId="0" xfId="0" applyFont="1" applyFill="1" applyProtection="1">
      <protection hidden="1"/>
    </xf>
    <xf numFmtId="0" fontId="6" fillId="3" borderId="0" xfId="0" applyFont="1" applyFill="1"/>
    <xf numFmtId="0" fontId="20" fillId="3" borderId="0" xfId="0" applyFont="1" applyFill="1" applyProtection="1">
      <protection hidden="1"/>
    </xf>
    <xf numFmtId="0" fontId="20" fillId="3" borderId="0" xfId="0" applyFont="1" applyFill="1"/>
    <xf numFmtId="0" fontId="8" fillId="0" borderId="0" xfId="0" applyFont="1" applyFill="1" applyAlignment="1" applyProtection="1">
      <alignment horizontal="left"/>
      <protection hidden="1"/>
    </xf>
    <xf numFmtId="0" fontId="3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1" fontId="8" fillId="0" borderId="0" xfId="0" applyNumberFormat="1" applyFont="1" applyFill="1" applyProtection="1">
      <protection hidden="1"/>
    </xf>
    <xf numFmtId="0" fontId="8" fillId="0" borderId="0" xfId="0" applyFont="1" applyFill="1"/>
    <xf numFmtId="2" fontId="8" fillId="0" borderId="0" xfId="0" applyNumberFormat="1" applyFont="1" applyFill="1" applyBorder="1" applyProtection="1">
      <protection hidden="1"/>
    </xf>
    <xf numFmtId="2" fontId="3" fillId="0" borderId="0" xfId="0" applyNumberFormat="1" applyFont="1" applyFill="1" applyBorder="1" applyProtection="1">
      <protection hidden="1"/>
    </xf>
    <xf numFmtId="2" fontId="8" fillId="0" borderId="0" xfId="0" applyNumberFormat="1" applyFont="1" applyFill="1" applyBorder="1" applyAlignment="1" applyProtection="1">
      <alignment horizontal="center"/>
      <protection hidden="1"/>
    </xf>
    <xf numFmtId="2" fontId="3" fillId="0" borderId="3" xfId="0" applyNumberFormat="1" applyFont="1" applyFill="1" applyBorder="1" applyProtection="1">
      <protection hidden="1"/>
    </xf>
    <xf numFmtId="2" fontId="3" fillId="0" borderId="15" xfId="0" applyNumberFormat="1" applyFont="1" applyFill="1" applyBorder="1" applyProtection="1">
      <protection hidden="1"/>
    </xf>
    <xf numFmtId="2" fontId="10" fillId="0" borderId="5" xfId="0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Protection="1">
      <protection hidden="1"/>
    </xf>
    <xf numFmtId="0" fontId="3" fillId="0" borderId="3" xfId="0" applyFont="1" applyFill="1" applyBorder="1" applyProtection="1">
      <protection hidden="1"/>
    </xf>
    <xf numFmtId="0" fontId="10" fillId="0" borderId="5" xfId="0" applyFont="1" applyFill="1" applyBorder="1" applyAlignment="1" applyProtection="1">
      <alignment horizontal="center"/>
      <protection hidden="1"/>
    </xf>
    <xf numFmtId="1" fontId="3" fillId="0" borderId="3" xfId="0" applyNumberFormat="1" applyFont="1" applyFill="1" applyBorder="1" applyProtection="1">
      <protection hidden="1"/>
    </xf>
    <xf numFmtId="2" fontId="8" fillId="0" borderId="0" xfId="0" applyNumberFormat="1" applyFont="1" applyFill="1" applyProtection="1">
      <protection hidden="1"/>
    </xf>
    <xf numFmtId="2" fontId="8" fillId="0" borderId="0" xfId="0" applyNumberFormat="1" applyFont="1" applyFill="1" applyAlignment="1" applyProtection="1">
      <alignment horizontal="right"/>
      <protection hidden="1"/>
    </xf>
    <xf numFmtId="168" fontId="8" fillId="0" borderId="0" xfId="0" applyNumberFormat="1" applyFont="1" applyFill="1" applyProtection="1">
      <protection hidden="1"/>
    </xf>
    <xf numFmtId="3" fontId="8" fillId="0" borderId="0" xfId="0" applyNumberFormat="1" applyFont="1" applyFill="1" applyProtection="1">
      <protection hidden="1"/>
    </xf>
    <xf numFmtId="0" fontId="8" fillId="0" borderId="4" xfId="0" applyNumberFormat="1" applyFont="1" applyFill="1" applyBorder="1" applyAlignment="1" applyProtection="1">
      <alignment horizontal="left"/>
      <protection hidden="1"/>
    </xf>
    <xf numFmtId="0" fontId="8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/>
      <protection hidden="1"/>
    </xf>
    <xf numFmtId="2" fontId="8" fillId="0" borderId="0" xfId="0" applyNumberFormat="1" applyFont="1" applyFill="1" applyBorder="1" applyAlignment="1" applyProtection="1">
      <alignment horizontal="right"/>
      <protection hidden="1"/>
    </xf>
    <xf numFmtId="3" fontId="8" fillId="0" borderId="0" xfId="0" applyNumberFormat="1" applyFont="1" applyFill="1"/>
    <xf numFmtId="1" fontId="8" fillId="0" borderId="0" xfId="0" applyNumberFormat="1" applyFont="1" applyFill="1"/>
    <xf numFmtId="0" fontId="3" fillId="4" borderId="0" xfId="0" applyFont="1" applyFill="1" applyProtection="1">
      <protection hidden="1"/>
    </xf>
    <xf numFmtId="0" fontId="8" fillId="4" borderId="0" xfId="0" applyFont="1" applyFill="1" applyProtection="1">
      <protection hidden="1"/>
    </xf>
    <xf numFmtId="0" fontId="2" fillId="0" borderId="0" xfId="0" applyFont="1" applyFill="1" applyAlignment="1" applyProtection="1">
      <alignment horizontal="left"/>
      <protection hidden="1"/>
    </xf>
    <xf numFmtId="0" fontId="2" fillId="0" borderId="0" xfId="0" applyFont="1" applyFill="1" applyProtection="1">
      <protection hidden="1"/>
    </xf>
    <xf numFmtId="0" fontId="10" fillId="0" borderId="0" xfId="0" applyFont="1" applyFill="1" applyAlignment="1" applyProtection="1">
      <alignment horizontal="left"/>
      <protection hidden="1"/>
    </xf>
    <xf numFmtId="0" fontId="10" fillId="0" borderId="0" xfId="0" applyFont="1" applyFill="1" applyAlignment="1" applyProtection="1">
      <alignment horizontal="right"/>
      <protection hidden="1"/>
    </xf>
    <xf numFmtId="0" fontId="8" fillId="0" borderId="0" xfId="0" applyFont="1" applyFill="1" applyAlignment="1" applyProtection="1">
      <alignment horizontal="right"/>
      <protection hidden="1"/>
    </xf>
    <xf numFmtId="0" fontId="8" fillId="0" borderId="0" xfId="0" applyFont="1" applyFill="1" applyBorder="1"/>
    <xf numFmtId="167" fontId="8" fillId="0" borderId="0" xfId="0" applyNumberFormat="1" applyFont="1" applyFill="1" applyProtection="1">
      <protection hidden="1"/>
    </xf>
    <xf numFmtId="1" fontId="3" fillId="0" borderId="0" xfId="0" applyNumberFormat="1" applyFont="1" applyFill="1" applyProtection="1">
      <protection hidden="1"/>
    </xf>
    <xf numFmtId="0" fontId="27" fillId="0" borderId="0" xfId="0" applyFont="1" applyFill="1"/>
    <xf numFmtId="2" fontId="10" fillId="3" borderId="0" xfId="0" applyNumberFormat="1" applyFont="1" applyFill="1" applyBorder="1" applyProtection="1">
      <protection locked="0"/>
    </xf>
    <xf numFmtId="2" fontId="8" fillId="3" borderId="4" xfId="0" applyNumberFormat="1" applyFont="1" applyFill="1" applyBorder="1"/>
    <xf numFmtId="0" fontId="1" fillId="2" borderId="4" xfId="0" applyFont="1" applyFill="1" applyBorder="1" applyProtection="1">
      <protection locked="0"/>
    </xf>
    <xf numFmtId="167" fontId="1" fillId="2" borderId="10" xfId="0" applyNumberFormat="1" applyFont="1" applyFill="1" applyBorder="1" applyProtection="1">
      <protection locked="0"/>
    </xf>
    <xf numFmtId="3" fontId="10" fillId="3" borderId="0" xfId="0" applyNumberFormat="1" applyFont="1" applyFill="1" applyBorder="1"/>
    <xf numFmtId="3" fontId="8" fillId="3" borderId="12" xfId="0" applyNumberFormat="1" applyFont="1" applyFill="1" applyBorder="1" applyProtection="1">
      <protection hidden="1"/>
    </xf>
    <xf numFmtId="167" fontId="10" fillId="3" borderId="6" xfId="0" applyNumberFormat="1" applyFont="1" applyFill="1" applyBorder="1" applyProtection="1">
      <protection hidden="1"/>
    </xf>
    <xf numFmtId="167" fontId="10" fillId="3" borderId="0" xfId="0" applyNumberFormat="1" applyFont="1" applyFill="1" applyBorder="1" applyProtection="1">
      <protection hidden="1"/>
    </xf>
    <xf numFmtId="167" fontId="10" fillId="3" borderId="10" xfId="0" applyNumberFormat="1" applyFont="1" applyFill="1" applyBorder="1" applyProtection="1">
      <protection hidden="1"/>
    </xf>
    <xf numFmtId="167" fontId="5" fillId="3" borderId="4" xfId="0" applyNumberFormat="1" applyFont="1" applyFill="1" applyBorder="1"/>
    <xf numFmtId="167" fontId="1" fillId="3" borderId="0" xfId="0" applyNumberFormat="1" applyFont="1" applyFill="1" applyBorder="1" applyProtection="1">
      <protection hidden="1"/>
    </xf>
    <xf numFmtId="0" fontId="8" fillId="3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1" fillId="3" borderId="0" xfId="0" applyFont="1" applyFill="1" applyAlignment="1" applyProtection="1">
      <alignment horizontal="left"/>
      <protection hidden="1"/>
    </xf>
    <xf numFmtId="3" fontId="3" fillId="3" borderId="0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right"/>
    </xf>
    <xf numFmtId="3" fontId="27" fillId="3" borderId="0" xfId="0" applyNumberFormat="1" applyFont="1" applyFill="1" applyProtection="1">
      <protection hidden="1"/>
    </xf>
    <xf numFmtId="167" fontId="1" fillId="3" borderId="9" xfId="0" applyNumberFormat="1" applyFont="1" applyFill="1" applyBorder="1"/>
    <xf numFmtId="167" fontId="3" fillId="3" borderId="9" xfId="0" applyNumberFormat="1" applyFont="1" applyFill="1" applyBorder="1"/>
    <xf numFmtId="167" fontId="3" fillId="3" borderId="7" xfId="0" applyNumberFormat="1" applyFont="1" applyFill="1" applyBorder="1" applyProtection="1">
      <protection hidden="1"/>
    </xf>
    <xf numFmtId="167" fontId="3" fillId="3" borderId="8" xfId="0" applyNumberFormat="1" applyFont="1" applyFill="1" applyBorder="1" applyProtection="1">
      <protection hidden="1"/>
    </xf>
    <xf numFmtId="167" fontId="5" fillId="3" borderId="1" xfId="0" applyNumberFormat="1" applyFont="1" applyFill="1" applyBorder="1"/>
    <xf numFmtId="168" fontId="3" fillId="2" borderId="3" xfId="0" applyNumberFormat="1" applyFont="1" applyFill="1" applyBorder="1" applyProtection="1">
      <protection locked="0"/>
    </xf>
    <xf numFmtId="168" fontId="3" fillId="2" borderId="1" xfId="0" applyNumberFormat="1" applyFont="1" applyFill="1" applyBorder="1" applyProtection="1">
      <protection locked="0"/>
    </xf>
    <xf numFmtId="168" fontId="3" fillId="2" borderId="2" xfId="0" applyNumberFormat="1" applyFont="1" applyFill="1" applyBorder="1" applyProtection="1">
      <protection locked="0"/>
    </xf>
    <xf numFmtId="168" fontId="21" fillId="2" borderId="0" xfId="0" applyNumberFormat="1" applyFont="1" applyFill="1" applyBorder="1" applyProtection="1">
      <protection locked="0"/>
    </xf>
    <xf numFmtId="168" fontId="21" fillId="2" borderId="10" xfId="0" applyNumberFormat="1" applyFont="1" applyFill="1" applyBorder="1" applyProtection="1">
      <protection locked="0"/>
    </xf>
    <xf numFmtId="168" fontId="3" fillId="2" borderId="4" xfId="0" applyNumberFormat="1" applyFont="1" applyFill="1" applyBorder="1" applyProtection="1">
      <protection locked="0"/>
    </xf>
    <xf numFmtId="168" fontId="3" fillId="2" borderId="0" xfId="0" applyNumberFormat="1" applyFont="1" applyFill="1" applyBorder="1" applyProtection="1">
      <protection locked="0"/>
    </xf>
    <xf numFmtId="168" fontId="3" fillId="2" borderId="10" xfId="0" applyNumberFormat="1" applyFont="1" applyFill="1" applyBorder="1" applyProtection="1">
      <protection locked="0"/>
    </xf>
    <xf numFmtId="168" fontId="3" fillId="2" borderId="12" xfId="0" applyNumberFormat="1" applyFont="1" applyFill="1" applyBorder="1" applyProtection="1">
      <protection locked="0"/>
    </xf>
    <xf numFmtId="168" fontId="3" fillId="2" borderId="13" xfId="0" applyNumberFormat="1" applyFont="1" applyFill="1" applyBorder="1" applyProtection="1">
      <protection locked="0"/>
    </xf>
    <xf numFmtId="168" fontId="21" fillId="2" borderId="12" xfId="0" applyNumberFormat="1" applyFont="1" applyFill="1" applyBorder="1" applyProtection="1">
      <protection locked="0"/>
    </xf>
    <xf numFmtId="168" fontId="21" fillId="2" borderId="13" xfId="0" applyNumberFormat="1" applyFont="1" applyFill="1" applyBorder="1" applyProtection="1">
      <protection locked="0"/>
    </xf>
    <xf numFmtId="0" fontId="8" fillId="3" borderId="3" xfId="0" applyFont="1" applyFill="1" applyBorder="1"/>
    <xf numFmtId="0" fontId="31" fillId="3" borderId="0" xfId="0" applyFont="1" applyFill="1"/>
    <xf numFmtId="0" fontId="10" fillId="3" borderId="4" xfId="0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3" fontId="8" fillId="3" borderId="10" xfId="0" applyNumberFormat="1" applyFont="1" applyFill="1" applyBorder="1" applyProtection="1">
      <protection hidden="1"/>
    </xf>
    <xf numFmtId="167" fontId="31" fillId="3" borderId="0" xfId="0" applyNumberFormat="1" applyFont="1" applyFill="1"/>
    <xf numFmtId="167" fontId="10" fillId="3" borderId="1" xfId="0" applyNumberFormat="1" applyFont="1" applyFill="1" applyBorder="1"/>
    <xf numFmtId="2" fontId="19" fillId="3" borderId="0" xfId="0" applyNumberFormat="1" applyFont="1" applyFill="1" applyBorder="1" applyAlignment="1">
      <alignment horizontal="left"/>
    </xf>
    <xf numFmtId="2" fontId="32" fillId="3" borderId="3" xfId="0" applyNumberFormat="1" applyFont="1" applyFill="1" applyBorder="1"/>
    <xf numFmtId="2" fontId="3" fillId="3" borderId="3" xfId="0" applyNumberFormat="1" applyFont="1" applyFill="1" applyBorder="1" applyAlignment="1">
      <alignment horizontal="left"/>
    </xf>
    <xf numFmtId="0" fontId="5" fillId="3" borderId="1" xfId="0" applyFont="1" applyFill="1" applyBorder="1"/>
    <xf numFmtId="0" fontId="5" fillId="3" borderId="2" xfId="0" applyFont="1" applyFill="1" applyBorder="1"/>
    <xf numFmtId="0" fontId="10" fillId="3" borderId="5" xfId="0" applyFont="1" applyFill="1" applyBorder="1" applyAlignment="1">
      <alignment horizontal="left"/>
    </xf>
    <xf numFmtId="3" fontId="8" fillId="3" borderId="9" xfId="0" applyNumberFormat="1" applyFont="1" applyFill="1" applyBorder="1" applyProtection="1">
      <protection hidden="1"/>
    </xf>
    <xf numFmtId="3" fontId="8" fillId="3" borderId="6" xfId="0" applyNumberFormat="1" applyFont="1" applyFill="1" applyBorder="1" applyProtection="1">
      <protection hidden="1"/>
    </xf>
    <xf numFmtId="167" fontId="10" fillId="3" borderId="14" xfId="0" applyNumberFormat="1" applyFont="1" applyFill="1" applyBorder="1" applyProtection="1">
      <protection hidden="1"/>
    </xf>
    <xf numFmtId="3" fontId="3" fillId="3" borderId="1" xfId="0" applyNumberFormat="1" applyFont="1" applyFill="1" applyBorder="1" applyProtection="1">
      <protection hidden="1"/>
    </xf>
    <xf numFmtId="3" fontId="3" fillId="3" borderId="2" xfId="0" applyNumberFormat="1" applyFont="1" applyFill="1" applyBorder="1" applyProtection="1">
      <protection hidden="1"/>
    </xf>
    <xf numFmtId="3" fontId="8" fillId="3" borderId="13" xfId="0" applyNumberFormat="1" applyFont="1" applyFill="1" applyBorder="1" applyProtection="1">
      <protection hidden="1"/>
    </xf>
    <xf numFmtId="2" fontId="8" fillId="3" borderId="3" xfId="0" applyNumberFormat="1" applyFont="1" applyFill="1" applyBorder="1"/>
    <xf numFmtId="2" fontId="8" fillId="3" borderId="5" xfId="0" applyNumberFormat="1" applyFont="1" applyFill="1" applyBorder="1"/>
    <xf numFmtId="2" fontId="8" fillId="3" borderId="3" xfId="0" applyNumberFormat="1" applyFont="1" applyFill="1" applyBorder="1" applyAlignment="1">
      <alignment horizontal="left"/>
    </xf>
    <xf numFmtId="167" fontId="5" fillId="3" borderId="2" xfId="0" applyNumberFormat="1" applyFont="1" applyFill="1" applyBorder="1"/>
    <xf numFmtId="2" fontId="8" fillId="3" borderId="4" xfId="0" applyNumberFormat="1" applyFont="1" applyFill="1" applyBorder="1" applyAlignment="1">
      <alignment horizontal="left"/>
    </xf>
    <xf numFmtId="2" fontId="8" fillId="3" borderId="5" xfId="0" applyNumberFormat="1" applyFont="1" applyFill="1" applyBorder="1" applyAlignment="1">
      <alignment horizontal="left"/>
    </xf>
    <xf numFmtId="167" fontId="1" fillId="3" borderId="6" xfId="0" applyNumberFormat="1" applyFont="1" applyFill="1" applyBorder="1"/>
    <xf numFmtId="167" fontId="1" fillId="3" borderId="11" xfId="0" applyNumberFormat="1" applyFont="1" applyFill="1" applyBorder="1"/>
    <xf numFmtId="167" fontId="3" fillId="3" borderId="6" xfId="0" applyNumberFormat="1" applyFont="1" applyFill="1" applyBorder="1"/>
    <xf numFmtId="167" fontId="3" fillId="3" borderId="11" xfId="0" applyNumberFormat="1" applyFont="1" applyFill="1" applyBorder="1"/>
    <xf numFmtId="167" fontId="5" fillId="3" borderId="9" xfId="0" applyNumberFormat="1" applyFont="1" applyFill="1" applyBorder="1"/>
    <xf numFmtId="2" fontId="19" fillId="3" borderId="3" xfId="0" applyNumberFormat="1" applyFont="1" applyFill="1" applyBorder="1"/>
    <xf numFmtId="0" fontId="7" fillId="3" borderId="1" xfId="0" applyFont="1" applyFill="1" applyBorder="1"/>
    <xf numFmtId="0" fontId="7" fillId="3" borderId="2" xfId="0" applyFont="1" applyFill="1" applyBorder="1"/>
    <xf numFmtId="2" fontId="3" fillId="0" borderId="4" xfId="0" applyNumberFormat="1" applyFont="1" applyFill="1" applyBorder="1"/>
    <xf numFmtId="3" fontId="5" fillId="3" borderId="10" xfId="0" applyNumberFormat="1" applyFont="1" applyFill="1" applyBorder="1" applyProtection="1">
      <protection hidden="1"/>
    </xf>
    <xf numFmtId="2" fontId="5" fillId="3" borderId="4" xfId="0" applyNumberFormat="1" applyFont="1" applyFill="1" applyBorder="1"/>
    <xf numFmtId="0" fontId="8" fillId="3" borderId="4" xfId="0" applyFont="1" applyFill="1" applyBorder="1"/>
    <xf numFmtId="3" fontId="8" fillId="3" borderId="0" xfId="0" applyNumberFormat="1" applyFont="1" applyFill="1" applyProtection="1">
      <protection hidden="1"/>
    </xf>
    <xf numFmtId="2" fontId="3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/>
    <xf numFmtId="3" fontId="8" fillId="3" borderId="0" xfId="0" applyNumberFormat="1" applyFont="1" applyFill="1" applyBorder="1"/>
    <xf numFmtId="3" fontId="8" fillId="3" borderId="0" xfId="0" applyNumberFormat="1" applyFont="1" applyFill="1"/>
    <xf numFmtId="2" fontId="3" fillId="0" borderId="0" xfId="0" applyNumberFormat="1" applyFont="1" applyFill="1" applyBorder="1" applyAlignment="1" applyProtection="1">
      <alignment horizontal="left"/>
      <protection hidden="1"/>
    </xf>
    <xf numFmtId="3" fontId="8" fillId="0" borderId="0" xfId="0" applyNumberFormat="1" applyFont="1" applyFill="1" applyBorder="1" applyProtection="1">
      <protection hidden="1"/>
    </xf>
    <xf numFmtId="0" fontId="3" fillId="3" borderId="0" xfId="0" applyFont="1" applyFill="1" applyProtection="1">
      <protection hidden="1"/>
    </xf>
    <xf numFmtId="166" fontId="2" fillId="2" borderId="14" xfId="0" applyNumberFormat="1" applyFont="1" applyFill="1" applyBorder="1" applyAlignment="1" applyProtection="1">
      <alignment horizontal="center"/>
      <protection locked="0"/>
    </xf>
    <xf numFmtId="4" fontId="2" fillId="2" borderId="14" xfId="0" applyNumberFormat="1" applyFont="1" applyFill="1" applyBorder="1" applyAlignment="1" applyProtection="1">
      <alignment horizontal="center"/>
      <protection locked="0"/>
    </xf>
    <xf numFmtId="9" fontId="2" fillId="2" borderId="14" xfId="0" applyNumberFormat="1" applyFont="1" applyFill="1" applyBorder="1" applyAlignment="1" applyProtection="1">
      <alignment horizontal="center"/>
      <protection locked="0"/>
    </xf>
    <xf numFmtId="167" fontId="8" fillId="2" borderId="1" xfId="0" applyNumberFormat="1" applyFont="1" applyFill="1" applyBorder="1" applyProtection="1">
      <protection locked="0"/>
    </xf>
    <xf numFmtId="167" fontId="8" fillId="2" borderId="2" xfId="0" applyNumberFormat="1" applyFont="1" applyFill="1" applyBorder="1" applyProtection="1">
      <protection locked="0"/>
    </xf>
    <xf numFmtId="167" fontId="8" fillId="2" borderId="0" xfId="0" applyNumberFormat="1" applyFont="1" applyFill="1" applyBorder="1" applyProtection="1">
      <protection locked="0"/>
    </xf>
    <xf numFmtId="167" fontId="8" fillId="2" borderId="10" xfId="0" applyNumberFormat="1" applyFont="1" applyFill="1" applyBorder="1" applyProtection="1">
      <protection locked="0"/>
    </xf>
    <xf numFmtId="167" fontId="8" fillId="2" borderId="12" xfId="0" applyNumberFormat="1" applyFont="1" applyFill="1" applyBorder="1" applyProtection="1">
      <protection locked="0"/>
    </xf>
    <xf numFmtId="167" fontId="8" fillId="2" borderId="13" xfId="0" applyNumberFormat="1" applyFont="1" applyFill="1" applyBorder="1" applyProtection="1">
      <protection locked="0"/>
    </xf>
    <xf numFmtId="167" fontId="8" fillId="2" borderId="3" xfId="0" applyNumberFormat="1" applyFont="1" applyFill="1" applyBorder="1" applyProtection="1">
      <protection locked="0"/>
    </xf>
    <xf numFmtId="167" fontId="8" fillId="2" borderId="4" xfId="0" applyNumberFormat="1" applyFont="1" applyFill="1" applyBorder="1" applyProtection="1">
      <protection locked="0"/>
    </xf>
    <xf numFmtId="3" fontId="33" fillId="3" borderId="0" xfId="0" applyNumberFormat="1" applyFont="1" applyFill="1" applyBorder="1" applyProtection="1">
      <protection hidden="1"/>
    </xf>
    <xf numFmtId="3" fontId="10" fillId="3" borderId="0" xfId="0" applyNumberFormat="1" applyFont="1" applyFill="1" applyBorder="1" applyProtection="1">
      <protection hidden="1"/>
    </xf>
    <xf numFmtId="167" fontId="10" fillId="3" borderId="9" xfId="0" applyNumberFormat="1" applyFont="1" applyFill="1" applyBorder="1" applyProtection="1">
      <protection hidden="1"/>
    </xf>
    <xf numFmtId="0" fontId="8" fillId="3" borderId="4" xfId="0" applyFont="1" applyFill="1" applyBorder="1" applyAlignment="1">
      <alignment horizontal="left"/>
    </xf>
    <xf numFmtId="0" fontId="5" fillId="0" borderId="0" xfId="0" applyFont="1" applyBorder="1"/>
    <xf numFmtId="0" fontId="5" fillId="0" borderId="10" xfId="0" applyFont="1" applyBorder="1"/>
    <xf numFmtId="0" fontId="8" fillId="3" borderId="5" xfId="0" applyFont="1" applyFill="1" applyBorder="1" applyAlignment="1">
      <alignment horizontal="left"/>
    </xf>
    <xf numFmtId="0" fontId="8" fillId="0" borderId="4" xfId="0" applyFont="1" applyBorder="1"/>
    <xf numFmtId="0" fontId="8" fillId="0" borderId="6" xfId="0" applyFont="1" applyBorder="1"/>
    <xf numFmtId="167" fontId="8" fillId="0" borderId="6" xfId="0" applyNumberFormat="1" applyFont="1" applyBorder="1"/>
    <xf numFmtId="167" fontId="8" fillId="0" borderId="0" xfId="0" applyNumberFormat="1" applyFont="1" applyBorder="1"/>
    <xf numFmtId="167" fontId="8" fillId="0" borderId="10" xfId="0" applyNumberFormat="1" applyFont="1" applyBorder="1"/>
    <xf numFmtId="167" fontId="5" fillId="0" borderId="4" xfId="0" applyNumberFormat="1" applyFont="1" applyBorder="1"/>
    <xf numFmtId="167" fontId="8" fillId="2" borderId="15" xfId="0" applyNumberFormat="1" applyFont="1" applyFill="1" applyBorder="1" applyProtection="1">
      <protection hidden="1"/>
    </xf>
    <xf numFmtId="167" fontId="8" fillId="2" borderId="7" xfId="0" applyNumberFormat="1" applyFont="1" applyFill="1" applyBorder="1" applyProtection="1">
      <protection hidden="1"/>
    </xf>
    <xf numFmtId="167" fontId="8" fillId="2" borderId="8" xfId="0" applyNumberFormat="1" applyFont="1" applyFill="1" applyBorder="1" applyProtection="1">
      <protection hidden="1"/>
    </xf>
    <xf numFmtId="0" fontId="13" fillId="3" borderId="3" xfId="0" applyFont="1" applyFill="1" applyBorder="1" applyAlignment="1">
      <alignment horizontal="left"/>
    </xf>
    <xf numFmtId="0" fontId="2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12" fillId="3" borderId="0" xfId="0" applyFont="1" applyFill="1" applyBorder="1" applyProtection="1">
      <protection hidden="1"/>
    </xf>
    <xf numFmtId="0" fontId="34" fillId="3" borderId="3" xfId="0" applyFont="1" applyFill="1" applyBorder="1" applyProtection="1">
      <protection hidden="1"/>
    </xf>
    <xf numFmtId="0" fontId="12" fillId="3" borderId="1" xfId="0" applyFont="1" applyFill="1" applyBorder="1" applyProtection="1">
      <protection hidden="1"/>
    </xf>
    <xf numFmtId="0" fontId="12" fillId="3" borderId="2" xfId="0" applyFont="1" applyFill="1" applyBorder="1" applyProtection="1">
      <protection hidden="1"/>
    </xf>
    <xf numFmtId="0" fontId="12" fillId="3" borderId="5" xfId="0" applyFont="1" applyFill="1" applyBorder="1" applyProtection="1">
      <protection hidden="1"/>
    </xf>
    <xf numFmtId="0" fontId="12" fillId="3" borderId="12" xfId="0" applyFont="1" applyFill="1" applyBorder="1" applyProtection="1">
      <protection hidden="1"/>
    </xf>
    <xf numFmtId="0" fontId="12" fillId="3" borderId="13" xfId="0" applyFont="1" applyFill="1" applyBorder="1" applyProtection="1">
      <protection hidden="1"/>
    </xf>
    <xf numFmtId="0" fontId="35" fillId="0" borderId="0" xfId="0" applyFont="1"/>
    <xf numFmtId="0" fontId="36" fillId="3" borderId="0" xfId="0" applyFont="1" applyFill="1"/>
    <xf numFmtId="0" fontId="17" fillId="0" borderId="0" xfId="0" applyFont="1" applyFill="1" applyProtection="1">
      <protection hidden="1"/>
    </xf>
    <xf numFmtId="2" fontId="10" fillId="0" borderId="0" xfId="0" applyNumberFormat="1" applyFont="1" applyFill="1" applyBorder="1" applyProtection="1">
      <protection hidden="1"/>
    </xf>
    <xf numFmtId="0" fontId="4" fillId="3" borderId="12" xfId="0" applyNumberFormat="1" applyFont="1" applyFill="1" applyBorder="1" applyAlignment="1" applyProtection="1">
      <alignment horizontal="right"/>
      <protection locked="0"/>
    </xf>
    <xf numFmtId="168" fontId="3" fillId="2" borderId="12" xfId="0" applyNumberFormat="1" applyFont="1" applyFill="1" applyBorder="1" applyProtection="1">
      <protection hidden="1"/>
    </xf>
    <xf numFmtId="171" fontId="5" fillId="3" borderId="0" xfId="0" applyNumberFormat="1" applyFont="1" applyFill="1"/>
    <xf numFmtId="172" fontId="31" fillId="3" borderId="0" xfId="0" applyNumberFormat="1" applyFont="1" applyFill="1" applyBorder="1" applyAlignment="1">
      <alignment horizontal="left"/>
    </xf>
    <xf numFmtId="0" fontId="33" fillId="0" borderId="0" xfId="0" applyFont="1" applyFill="1" applyProtection="1">
      <protection hidden="1"/>
    </xf>
    <xf numFmtId="2" fontId="33" fillId="0" borderId="0" xfId="0" applyNumberFormat="1" applyFont="1" applyFill="1" applyAlignment="1" applyProtection="1">
      <alignment horizontal="right"/>
      <protection hidden="1"/>
    </xf>
    <xf numFmtId="2" fontId="33" fillId="0" borderId="0" xfId="0" applyNumberFormat="1" applyFont="1" applyFill="1" applyProtection="1">
      <protection hidden="1"/>
    </xf>
    <xf numFmtId="2" fontId="33" fillId="0" borderId="0" xfId="0" applyNumberFormat="1" applyFont="1" applyFill="1" applyBorder="1" applyAlignment="1" applyProtection="1">
      <alignment horizontal="right"/>
      <protection hidden="1"/>
    </xf>
    <xf numFmtId="0" fontId="33" fillId="0" borderId="0" xfId="0" applyFont="1" applyFill="1" applyBorder="1" applyAlignment="1" applyProtection="1">
      <alignment horizontal="right"/>
      <protection hidden="1"/>
    </xf>
    <xf numFmtId="0" fontId="3" fillId="3" borderId="6" xfId="0" applyNumberFormat="1" applyFont="1" applyFill="1" applyBorder="1" applyAlignment="1" applyProtection="1">
      <alignment horizontal="right"/>
      <protection locked="0"/>
    </xf>
    <xf numFmtId="0" fontId="3" fillId="3" borderId="4" xfId="0" applyNumberFormat="1" applyFont="1" applyFill="1" applyBorder="1" applyAlignment="1" applyProtection="1">
      <alignment horizontal="right"/>
      <protection locked="0"/>
    </xf>
    <xf numFmtId="2" fontId="5" fillId="3" borderId="0" xfId="0" applyNumberFormat="1" applyFont="1" applyFill="1" applyBorder="1"/>
    <xf numFmtId="0" fontId="1" fillId="0" borderId="0" xfId="0" applyFont="1" applyFill="1"/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Protection="1">
      <protection hidden="1"/>
    </xf>
    <xf numFmtId="0" fontId="8" fillId="5" borderId="0" xfId="0" applyFont="1" applyFill="1" applyProtection="1">
      <protection hidden="1"/>
    </xf>
    <xf numFmtId="0" fontId="10" fillId="5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/>
      <protection hidden="1"/>
    </xf>
    <xf numFmtId="2" fontId="19" fillId="2" borderId="0" xfId="0" applyNumberFormat="1" applyFont="1" applyFill="1" applyBorder="1"/>
    <xf numFmtId="0" fontId="8" fillId="0" borderId="0" xfId="0" applyFont="1" applyFill="1" applyAlignment="1" applyProtection="1">
      <alignment horizontal="center"/>
      <protection hidden="1"/>
    </xf>
    <xf numFmtId="0" fontId="8" fillId="5" borderId="0" xfId="0" applyFont="1" applyFill="1" applyAlignment="1" applyProtection="1">
      <alignment horizontal="center"/>
      <protection hidden="1"/>
    </xf>
    <xf numFmtId="0" fontId="10" fillId="5" borderId="0" xfId="0" applyFont="1" applyFill="1" applyAlignment="1" applyProtection="1">
      <alignment horizontal="center"/>
      <protection hidden="1"/>
    </xf>
    <xf numFmtId="0" fontId="6" fillId="0" borderId="0" xfId="0" applyFont="1" applyFill="1"/>
    <xf numFmtId="0" fontId="8" fillId="5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right"/>
      <protection hidden="1"/>
    </xf>
    <xf numFmtId="2" fontId="1" fillId="0" borderId="0" xfId="0" applyNumberFormat="1" applyFont="1" applyFill="1" applyProtection="1">
      <protection hidden="1"/>
    </xf>
    <xf numFmtId="167" fontId="1" fillId="0" borderId="3" xfId="0" applyNumberFormat="1" applyFont="1" applyFill="1" applyBorder="1" applyAlignment="1" applyProtection="1">
      <alignment horizontal="left"/>
      <protection hidden="1"/>
    </xf>
    <xf numFmtId="3" fontId="1" fillId="0" borderId="0" xfId="0" applyNumberFormat="1" applyFont="1" applyFill="1" applyProtection="1">
      <protection hidden="1"/>
    </xf>
    <xf numFmtId="167" fontId="1" fillId="0" borderId="0" xfId="0" applyNumberFormat="1" applyFont="1" applyFill="1" applyProtection="1">
      <protection hidden="1"/>
    </xf>
    <xf numFmtId="0" fontId="1" fillId="0" borderId="0" xfId="0" applyFont="1" applyFill="1" applyProtection="1">
      <protection locked="0"/>
    </xf>
    <xf numFmtId="0" fontId="1" fillId="0" borderId="0" xfId="0" applyFont="1" applyFill="1" applyBorder="1"/>
    <xf numFmtId="2" fontId="3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2" fontId="1" fillId="4" borderId="0" xfId="0" applyNumberFormat="1" applyFont="1" applyFill="1" applyBorder="1" applyProtection="1">
      <protection hidden="1"/>
    </xf>
    <xf numFmtId="3" fontId="3" fillId="3" borderId="12" xfId="0" applyNumberFormat="1" applyFont="1" applyFill="1" applyBorder="1" applyProtection="1">
      <protection hidden="1"/>
    </xf>
    <xf numFmtId="3" fontId="3" fillId="3" borderId="13" xfId="0" applyNumberFormat="1" applyFont="1" applyFill="1" applyBorder="1" applyProtection="1">
      <protection hidden="1"/>
    </xf>
    <xf numFmtId="0" fontId="0" fillId="0" borderId="0" xfId="0" applyAlignment="1" applyProtection="1">
      <alignment horizontal="right"/>
      <protection locked="0"/>
    </xf>
    <xf numFmtId="168" fontId="3" fillId="0" borderId="0" xfId="0" applyNumberFormat="1" applyFont="1" applyFill="1" applyProtection="1">
      <protection hidden="1"/>
    </xf>
    <xf numFmtId="0" fontId="1" fillId="5" borderId="0" xfId="0" applyFont="1" applyFill="1" applyProtection="1">
      <protection hidden="1"/>
    </xf>
    <xf numFmtId="0" fontId="37" fillId="3" borderId="0" xfId="0" applyFont="1" applyFill="1" applyProtection="1">
      <protection hidden="1"/>
    </xf>
    <xf numFmtId="0" fontId="38" fillId="3" borderId="0" xfId="0" applyFont="1" applyFill="1" applyProtection="1">
      <protection hidden="1"/>
    </xf>
    <xf numFmtId="167" fontId="8" fillId="0" borderId="0" xfId="0" applyNumberFormat="1" applyFont="1" applyFill="1" applyBorder="1"/>
    <xf numFmtId="0" fontId="17" fillId="0" borderId="0" xfId="0" applyFont="1" applyFill="1" applyAlignment="1" applyProtection="1">
      <alignment horizontal="center"/>
      <protection hidden="1"/>
    </xf>
    <xf numFmtId="2" fontId="3" fillId="0" borderId="0" xfId="0" applyNumberFormat="1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2" fontId="17" fillId="0" borderId="0" xfId="0" applyNumberFormat="1" applyFont="1" applyFill="1" applyAlignment="1" applyProtection="1">
      <alignment horizontal="center"/>
      <protection hidden="1"/>
    </xf>
    <xf numFmtId="0" fontId="1" fillId="3" borderId="15" xfId="0" applyFont="1" applyFill="1" applyBorder="1" applyAlignment="1">
      <alignment horizontal="left"/>
    </xf>
    <xf numFmtId="4" fontId="1" fillId="3" borderId="0" xfId="0" applyNumberFormat="1" applyFont="1" applyFill="1"/>
    <xf numFmtId="0" fontId="3" fillId="0" borderId="0" xfId="0" applyFont="1" applyFill="1" applyAlignment="1" applyProtection="1">
      <alignment horizontal="right"/>
      <protection hidden="1"/>
    </xf>
    <xf numFmtId="169" fontId="7" fillId="3" borderId="1" xfId="0" applyNumberFormat="1" applyFont="1" applyFill="1" applyBorder="1"/>
    <xf numFmtId="0" fontId="1" fillId="6" borderId="0" xfId="0" applyFont="1" applyFill="1"/>
    <xf numFmtId="168" fontId="0" fillId="3" borderId="0" xfId="0" applyNumberFormat="1" applyFill="1"/>
    <xf numFmtId="3" fontId="4" fillId="3" borderId="0" xfId="0" applyNumberFormat="1" applyFont="1" applyFill="1"/>
    <xf numFmtId="3" fontId="3" fillId="3" borderId="0" xfId="0" applyNumberFormat="1" applyFont="1" applyFill="1"/>
    <xf numFmtId="3" fontId="4" fillId="0" borderId="0" xfId="0" applyNumberFormat="1" applyFont="1"/>
    <xf numFmtId="3" fontId="3" fillId="0" borderId="0" xfId="0" applyNumberFormat="1" applyFont="1"/>
    <xf numFmtId="3" fontId="0" fillId="3" borderId="0" xfId="0" applyNumberFormat="1" applyFill="1"/>
    <xf numFmtId="3" fontId="0" fillId="0" borderId="0" xfId="0" applyNumberFormat="1"/>
    <xf numFmtId="172" fontId="4" fillId="3" borderId="0" xfId="0" applyNumberFormat="1" applyFont="1" applyFill="1"/>
    <xf numFmtId="165" fontId="1" fillId="0" borderId="0" xfId="0" applyNumberFormat="1" applyFont="1" applyFill="1"/>
    <xf numFmtId="167" fontId="3" fillId="0" borderId="0" xfId="0" applyNumberFormat="1" applyFont="1" applyFill="1" applyBorder="1" applyProtection="1">
      <protection hidden="1"/>
    </xf>
    <xf numFmtId="0" fontId="4" fillId="0" borderId="12" xfId="0" applyNumberFormat="1" applyFont="1" applyFill="1" applyBorder="1" applyAlignment="1" applyProtection="1">
      <alignment horizontal="right"/>
      <protection locked="0"/>
    </xf>
    <xf numFmtId="3" fontId="3" fillId="0" borderId="12" xfId="0" applyNumberFormat="1" applyFont="1" applyFill="1" applyBorder="1" applyProtection="1">
      <protection hidden="1"/>
    </xf>
    <xf numFmtId="3" fontId="5" fillId="0" borderId="0" xfId="0" applyNumberFormat="1" applyFont="1" applyFill="1" applyBorder="1" applyProtection="1">
      <protection hidden="1"/>
    </xf>
    <xf numFmtId="167" fontId="5" fillId="0" borderId="0" xfId="0" applyNumberFormat="1" applyFont="1" applyFill="1" applyBorder="1" applyProtection="1">
      <protection hidden="1"/>
    </xf>
    <xf numFmtId="167" fontId="3" fillId="0" borderId="1" xfId="0" applyNumberFormat="1" applyFont="1" applyFill="1" applyBorder="1" applyProtection="1">
      <protection hidden="1"/>
    </xf>
    <xf numFmtId="167" fontId="3" fillId="0" borderId="12" xfId="0" applyNumberFormat="1" applyFont="1" applyFill="1" applyBorder="1" applyProtection="1">
      <protection hidden="1"/>
    </xf>
    <xf numFmtId="167" fontId="10" fillId="0" borderId="12" xfId="0" applyNumberFormat="1" applyFont="1" applyFill="1" applyBorder="1" applyProtection="1">
      <protection hidden="1"/>
    </xf>
    <xf numFmtId="0" fontId="5" fillId="0" borderId="0" xfId="0" applyFont="1" applyFill="1" applyProtection="1">
      <protection hidden="1"/>
    </xf>
    <xf numFmtId="168" fontId="10" fillId="0" borderId="0" xfId="0" applyNumberFormat="1" applyFont="1" applyFill="1" applyBorder="1"/>
    <xf numFmtId="167" fontId="5" fillId="0" borderId="0" xfId="0" applyNumberFormat="1" applyFont="1" applyFill="1" applyBorder="1"/>
    <xf numFmtId="167" fontId="5" fillId="0" borderId="1" xfId="0" applyNumberFormat="1" applyFont="1" applyFill="1" applyBorder="1"/>
    <xf numFmtId="167" fontId="3" fillId="0" borderId="7" xfId="0" applyNumberFormat="1" applyFont="1" applyFill="1" applyBorder="1" applyProtection="1">
      <protection hidden="1"/>
    </xf>
    <xf numFmtId="167" fontId="8" fillId="0" borderId="1" xfId="0" applyNumberFormat="1" applyFont="1" applyFill="1" applyBorder="1" applyProtection="1">
      <protection hidden="1"/>
    </xf>
    <xf numFmtId="167" fontId="10" fillId="0" borderId="0" xfId="0" applyNumberFormat="1" applyFont="1" applyFill="1" applyBorder="1" applyProtection="1">
      <protection hidden="1"/>
    </xf>
    <xf numFmtId="0" fontId="5" fillId="0" borderId="1" xfId="0" applyFont="1" applyFill="1" applyBorder="1"/>
    <xf numFmtId="0" fontId="5" fillId="0" borderId="0" xfId="0" applyFont="1" applyFill="1" applyBorder="1"/>
    <xf numFmtId="3" fontId="8" fillId="0" borderId="12" xfId="0" applyNumberFormat="1" applyFont="1" applyFill="1" applyBorder="1" applyProtection="1">
      <protection hidden="1"/>
    </xf>
    <xf numFmtId="3" fontId="3" fillId="0" borderId="1" xfId="0" applyNumberFormat="1" applyFont="1" applyFill="1" applyBorder="1" applyProtection="1">
      <protection hidden="1"/>
    </xf>
    <xf numFmtId="3" fontId="10" fillId="0" borderId="12" xfId="0" applyNumberFormat="1" applyFont="1" applyFill="1" applyBorder="1" applyProtection="1">
      <protection hidden="1"/>
    </xf>
    <xf numFmtId="167" fontId="5" fillId="0" borderId="12" xfId="0" applyNumberFormat="1" applyFont="1" applyFill="1" applyBorder="1" applyProtection="1">
      <protection hidden="1"/>
    </xf>
    <xf numFmtId="2" fontId="3" fillId="7" borderId="3" xfId="0" applyNumberFormat="1" applyFont="1" applyFill="1" applyBorder="1"/>
    <xf numFmtId="167" fontId="3" fillId="7" borderId="9" xfId="0" applyNumberFormat="1" applyFont="1" applyFill="1" applyBorder="1" applyProtection="1">
      <protection hidden="1"/>
    </xf>
    <xf numFmtId="167" fontId="3" fillId="7" borderId="3" xfId="0" applyNumberFormat="1" applyFont="1" applyFill="1" applyBorder="1" applyProtection="1">
      <protection hidden="1"/>
    </xf>
    <xf numFmtId="167" fontId="3" fillId="7" borderId="1" xfId="0" applyNumberFormat="1" applyFont="1" applyFill="1" applyBorder="1" applyProtection="1">
      <protection hidden="1"/>
    </xf>
    <xf numFmtId="167" fontId="3" fillId="7" borderId="2" xfId="0" applyNumberFormat="1" applyFont="1" applyFill="1" applyBorder="1" applyProtection="1">
      <protection hidden="1"/>
    </xf>
    <xf numFmtId="167" fontId="3" fillId="0" borderId="0" xfId="0" applyNumberFormat="1" applyFont="1" applyFill="1"/>
    <xf numFmtId="0" fontId="3" fillId="0" borderId="0" xfId="0" applyFont="1" applyFill="1"/>
    <xf numFmtId="2" fontId="10" fillId="7" borderId="5" xfId="0" applyNumberFormat="1" applyFont="1" applyFill="1" applyBorder="1" applyAlignment="1">
      <alignment horizontal="center"/>
    </xf>
    <xf numFmtId="167" fontId="10" fillId="7" borderId="11" xfId="0" applyNumberFormat="1" applyFont="1" applyFill="1" applyBorder="1" applyProtection="1">
      <protection hidden="1"/>
    </xf>
    <xf numFmtId="167" fontId="10" fillId="7" borderId="5" xfId="0" applyNumberFormat="1" applyFont="1" applyFill="1" applyBorder="1" applyProtection="1">
      <protection hidden="1"/>
    </xf>
    <xf numFmtId="167" fontId="10" fillId="7" borderId="12" xfId="0" applyNumberFormat="1" applyFont="1" applyFill="1" applyBorder="1" applyProtection="1">
      <protection hidden="1"/>
    </xf>
    <xf numFmtId="167" fontId="10" fillId="7" borderId="13" xfId="0" applyNumberFormat="1" applyFont="1" applyFill="1" applyBorder="1" applyProtection="1">
      <protection hidden="1"/>
    </xf>
    <xf numFmtId="3" fontId="1" fillId="0" borderId="0" xfId="0" applyNumberFormat="1" applyFont="1" applyFill="1" applyAlignment="1" applyProtection="1">
      <alignment horizontal="right"/>
      <protection locked="0"/>
    </xf>
    <xf numFmtId="1" fontId="1" fillId="0" borderId="0" xfId="0" applyNumberFormat="1" applyFont="1" applyFill="1" applyProtection="1">
      <protection hidden="1"/>
    </xf>
    <xf numFmtId="3" fontId="31" fillId="0" borderId="0" xfId="0" applyNumberFormat="1" applyFont="1" applyFill="1" applyAlignment="1" applyProtection="1">
      <alignment horizontal="right"/>
      <protection locked="0"/>
    </xf>
    <xf numFmtId="4" fontId="3" fillId="0" borderId="0" xfId="0" applyNumberFormat="1" applyFont="1" applyFill="1" applyAlignment="1" applyProtection="1">
      <alignment horizontal="center"/>
      <protection locked="0"/>
    </xf>
    <xf numFmtId="3" fontId="3" fillId="0" borderId="0" xfId="0" applyNumberFormat="1" applyFont="1" applyFill="1" applyAlignment="1" applyProtection="1">
      <alignment horizontal="center"/>
      <protection locked="0"/>
    </xf>
    <xf numFmtId="1" fontId="1" fillId="0" borderId="0" xfId="0" applyNumberFormat="1" applyFont="1" applyFill="1"/>
    <xf numFmtId="2" fontId="39" fillId="3" borderId="4" xfId="0" applyNumberFormat="1" applyFont="1" applyFill="1" applyBorder="1"/>
    <xf numFmtId="167" fontId="40" fillId="3" borderId="6" xfId="0" applyNumberFormat="1" applyFont="1" applyFill="1" applyBorder="1" applyProtection="1">
      <protection hidden="1"/>
    </xf>
    <xf numFmtId="167" fontId="40" fillId="3" borderId="4" xfId="0" applyNumberFormat="1" applyFont="1" applyFill="1" applyBorder="1" applyProtection="1">
      <protection hidden="1"/>
    </xf>
    <xf numFmtId="167" fontId="39" fillId="3" borderId="4" xfId="0" applyNumberFormat="1" applyFont="1" applyFill="1" applyBorder="1" applyProtection="1">
      <protection hidden="1"/>
    </xf>
    <xf numFmtId="167" fontId="40" fillId="3" borderId="0" xfId="0" applyNumberFormat="1" applyFont="1" applyFill="1"/>
    <xf numFmtId="0" fontId="40" fillId="3" borderId="0" xfId="0" applyFont="1" applyFill="1"/>
    <xf numFmtId="3" fontId="40" fillId="3" borderId="0" xfId="0" applyNumberFormat="1" applyFont="1" applyFill="1"/>
    <xf numFmtId="3" fontId="40" fillId="0" borderId="0" xfId="0" applyNumberFormat="1" applyFont="1"/>
    <xf numFmtId="167" fontId="40" fillId="0" borderId="0" xfId="0" applyNumberFormat="1" applyFont="1"/>
    <xf numFmtId="0" fontId="40" fillId="0" borderId="0" xfId="0" applyFont="1"/>
    <xf numFmtId="168" fontId="21" fillId="2" borderId="1" xfId="0" applyNumberFormat="1" applyFont="1" applyFill="1" applyBorder="1" applyProtection="1">
      <protection locked="0"/>
    </xf>
    <xf numFmtId="168" fontId="3" fillId="2" borderId="5" xfId="0" applyNumberFormat="1" applyFont="1" applyFill="1" applyBorder="1" applyProtection="1">
      <protection locked="0"/>
    </xf>
    <xf numFmtId="169" fontId="7" fillId="3" borderId="9" xfId="0" applyNumberFormat="1" applyFont="1" applyFill="1" applyBorder="1"/>
    <xf numFmtId="169" fontId="13" fillId="0" borderId="1" xfId="0" applyNumberFormat="1" applyFont="1" applyFill="1" applyBorder="1" applyAlignment="1">
      <alignment horizontal="left"/>
    </xf>
    <xf numFmtId="167" fontId="39" fillId="0" borderId="0" xfId="0" applyNumberFormat="1" applyFont="1" applyFill="1" applyBorder="1" applyProtection="1">
      <protection locked="0"/>
    </xf>
    <xf numFmtId="0" fontId="31" fillId="0" borderId="0" xfId="0" applyFont="1" applyFill="1" applyProtection="1">
      <protection hidden="1"/>
    </xf>
    <xf numFmtId="165" fontId="3" fillId="0" borderId="0" xfId="0" applyNumberFormat="1" applyFont="1" applyFill="1"/>
    <xf numFmtId="164" fontId="3" fillId="0" borderId="0" xfId="1" applyFont="1" applyFill="1" applyAlignment="1" applyProtection="1">
      <alignment horizontal="center"/>
      <protection hidden="1"/>
    </xf>
    <xf numFmtId="0" fontId="2" fillId="5" borderId="0" xfId="0" applyFont="1" applyFill="1" applyProtection="1">
      <protection hidden="1"/>
    </xf>
    <xf numFmtId="2" fontId="1" fillId="5" borderId="0" xfId="0" applyNumberFormat="1" applyFont="1" applyFill="1" applyBorder="1" applyProtection="1">
      <protection hidden="1"/>
    </xf>
    <xf numFmtId="3" fontId="8" fillId="5" borderId="0" xfId="0" applyNumberFormat="1" applyFont="1" applyFill="1" applyAlignment="1" applyProtection="1">
      <alignment horizontal="right"/>
      <protection locked="0"/>
    </xf>
    <xf numFmtId="0" fontId="3" fillId="0" borderId="0" xfId="0" applyFont="1" applyAlignment="1">
      <alignment horizontal="left"/>
    </xf>
    <xf numFmtId="3" fontId="1" fillId="5" borderId="0" xfId="0" applyNumberFormat="1" applyFont="1" applyFill="1" applyAlignment="1" applyProtection="1">
      <alignment horizontal="right"/>
      <protection hidden="1"/>
    </xf>
    <xf numFmtId="3" fontId="8" fillId="5" borderId="0" xfId="0" applyNumberFormat="1" applyFont="1" applyFill="1"/>
    <xf numFmtId="3" fontId="8" fillId="5" borderId="0" xfId="0" applyNumberFormat="1" applyFont="1" applyFill="1" applyAlignment="1">
      <alignment horizontal="right"/>
    </xf>
    <xf numFmtId="0" fontId="3" fillId="5" borderId="0" xfId="0" applyFont="1" applyFill="1" applyAlignment="1" applyProtection="1">
      <alignment horizontal="right"/>
      <protection hidden="1"/>
    </xf>
    <xf numFmtId="3" fontId="1" fillId="0" borderId="0" xfId="0" applyNumberFormat="1" applyFont="1" applyFill="1" applyAlignment="1" applyProtection="1">
      <alignment horizontal="right"/>
      <protection hidden="1"/>
    </xf>
    <xf numFmtId="3" fontId="1" fillId="5" borderId="0" xfId="0" applyNumberFormat="1" applyFont="1" applyFill="1"/>
    <xf numFmtId="3" fontId="1" fillId="5" borderId="0" xfId="0" applyNumberFormat="1" applyFont="1" applyFill="1" applyProtection="1">
      <protection hidden="1"/>
    </xf>
    <xf numFmtId="167" fontId="3" fillId="8" borderId="3" xfId="0" applyNumberFormat="1" applyFont="1" applyFill="1" applyBorder="1" applyProtection="1">
      <protection hidden="1"/>
    </xf>
    <xf numFmtId="167" fontId="3" fillId="8" borderId="1" xfId="0" applyNumberFormat="1" applyFont="1" applyFill="1" applyBorder="1" applyProtection="1">
      <protection hidden="1"/>
    </xf>
    <xf numFmtId="167" fontId="3" fillId="8" borderId="4" xfId="0" applyNumberFormat="1" applyFont="1" applyFill="1" applyBorder="1" applyProtection="1">
      <protection hidden="1"/>
    </xf>
    <xf numFmtId="167" fontId="3" fillId="8" borderId="0" xfId="0" applyNumberFormat="1" applyFont="1" applyFill="1" applyBorder="1" applyProtection="1">
      <protection hidden="1"/>
    </xf>
    <xf numFmtId="167" fontId="8" fillId="8" borderId="3" xfId="0" applyNumberFormat="1" applyFont="1" applyFill="1" applyBorder="1" applyProtection="1">
      <protection hidden="1"/>
    </xf>
    <xf numFmtId="167" fontId="8" fillId="8" borderId="1" xfId="0" applyNumberFormat="1" applyFont="1" applyFill="1" applyBorder="1" applyProtection="1">
      <protection hidden="1"/>
    </xf>
    <xf numFmtId="167" fontId="8" fillId="8" borderId="0" xfId="0" applyNumberFormat="1" applyFont="1" applyFill="1" applyBorder="1" applyProtection="1">
      <protection hidden="1"/>
    </xf>
    <xf numFmtId="167" fontId="8" fillId="8" borderId="4" xfId="0" applyNumberFormat="1" applyFont="1" applyFill="1" applyBorder="1" applyProtection="1">
      <protection hidden="1"/>
    </xf>
    <xf numFmtId="167" fontId="5" fillId="8" borderId="4" xfId="0" applyNumberFormat="1" applyFont="1" applyFill="1" applyBorder="1" applyProtection="1">
      <protection hidden="1"/>
    </xf>
    <xf numFmtId="167" fontId="5" fillId="8" borderId="0" xfId="0" applyNumberFormat="1" applyFont="1" applyFill="1" applyBorder="1" applyProtection="1">
      <protection hidden="1"/>
    </xf>
    <xf numFmtId="167" fontId="5" fillId="8" borderId="10" xfId="0" applyNumberFormat="1" applyFont="1" applyFill="1" applyBorder="1" applyProtection="1">
      <protection hidden="1"/>
    </xf>
    <xf numFmtId="0" fontId="3" fillId="0" borderId="3" xfId="0" applyFont="1" applyFill="1" applyBorder="1" applyAlignment="1">
      <alignment horizontal="right"/>
    </xf>
    <xf numFmtId="167" fontId="1" fillId="0" borderId="0" xfId="0" applyNumberFormat="1" applyFont="1" applyFill="1"/>
    <xf numFmtId="167" fontId="5" fillId="8" borderId="12" xfId="0" applyNumberFormat="1" applyFont="1" applyFill="1" applyBorder="1"/>
    <xf numFmtId="167" fontId="5" fillId="8" borderId="13" xfId="0" applyNumberFormat="1" applyFont="1" applyFill="1" applyBorder="1"/>
    <xf numFmtId="4" fontId="1" fillId="0" borderId="0" xfId="0" applyNumberFormat="1" applyFont="1" applyFill="1" applyProtection="1">
      <protection hidden="1"/>
    </xf>
    <xf numFmtId="164" fontId="1" fillId="0" borderId="0" xfId="0" applyNumberFormat="1" applyFont="1" applyFill="1" applyProtection="1">
      <protection hidden="1"/>
    </xf>
    <xf numFmtId="167" fontId="8" fillId="0" borderId="0" xfId="0" applyNumberFormat="1" applyFont="1" applyFill="1" applyProtection="1">
      <protection locked="0"/>
    </xf>
    <xf numFmtId="167" fontId="1" fillId="0" borderId="0" xfId="0" applyNumberFormat="1" applyFont="1" applyFill="1" applyAlignment="1" applyProtection="1">
      <alignment horizontal="right"/>
      <protection locked="0"/>
    </xf>
    <xf numFmtId="167" fontId="1" fillId="0" borderId="0" xfId="0" applyNumberFormat="1" applyFont="1" applyFill="1" applyProtection="1">
      <protection locked="0"/>
    </xf>
    <xf numFmtId="167" fontId="8" fillId="0" borderId="0" xfId="0" applyNumberFormat="1" applyFont="1" applyFill="1"/>
    <xf numFmtId="167" fontId="28" fillId="0" borderId="0" xfId="0" applyNumberFormat="1" applyFont="1" applyFill="1" applyAlignment="1" applyProtection="1">
      <alignment horizontal="right"/>
      <protection locked="0"/>
    </xf>
    <xf numFmtId="167" fontId="0" fillId="0" borderId="0" xfId="0" applyNumberFormat="1"/>
    <xf numFmtId="167" fontId="41" fillId="0" borderId="0" xfId="0" applyNumberFormat="1" applyFont="1"/>
    <xf numFmtId="167" fontId="8" fillId="0" borderId="0" xfId="0" applyNumberFormat="1" applyFont="1" applyFill="1" applyAlignment="1" applyProtection="1">
      <alignment horizontal="right"/>
      <protection locked="0"/>
    </xf>
    <xf numFmtId="4" fontId="3" fillId="0" borderId="0" xfId="0" applyNumberFormat="1" applyFont="1" applyFill="1" applyAlignment="1" applyProtection="1">
      <alignment horizontal="center"/>
      <protection hidden="1"/>
    </xf>
    <xf numFmtId="4" fontId="3" fillId="0" borderId="0" xfId="1" applyNumberFormat="1" applyFont="1" applyFill="1" applyAlignment="1" applyProtection="1">
      <alignment horizontal="center"/>
      <protection hidden="1"/>
    </xf>
    <xf numFmtId="4" fontId="3" fillId="0" borderId="0" xfId="0" applyNumberFormat="1" applyFont="1" applyFill="1" applyBorder="1" applyAlignment="1" applyProtection="1">
      <alignment horizontal="center"/>
      <protection hidden="1"/>
    </xf>
    <xf numFmtId="167" fontId="3" fillId="0" borderId="0" xfId="0" applyNumberFormat="1" applyFont="1" applyFill="1" applyProtection="1">
      <protection hidden="1"/>
    </xf>
    <xf numFmtId="167" fontId="3" fillId="0" borderId="0" xfId="0" applyNumberFormat="1" applyFont="1" applyFill="1" applyAlignment="1" applyProtection="1">
      <alignment horizontal="right"/>
      <protection locked="0"/>
    </xf>
    <xf numFmtId="167" fontId="1" fillId="0" borderId="0" xfId="3" applyNumberFormat="1" applyFont="1" applyFill="1" applyProtection="1">
      <protection hidden="1"/>
    </xf>
    <xf numFmtId="167" fontId="1" fillId="0" borderId="0" xfId="3" applyNumberFormat="1" applyFont="1" applyFill="1"/>
    <xf numFmtId="167" fontId="1" fillId="0" borderId="0" xfId="3" applyNumberFormat="1" applyFont="1" applyFill="1" applyAlignment="1" applyProtection="1">
      <alignment horizontal="right"/>
      <protection locked="0"/>
    </xf>
    <xf numFmtId="167" fontId="1" fillId="3" borderId="12" xfId="0" applyNumberFormat="1" applyFont="1" applyFill="1" applyBorder="1" applyProtection="1">
      <protection hidden="1"/>
    </xf>
    <xf numFmtId="0" fontId="23" fillId="3" borderId="0" xfId="0" applyFont="1" applyFill="1" applyProtection="1">
      <protection hidden="1"/>
    </xf>
    <xf numFmtId="0" fontId="42" fillId="3" borderId="0" xfId="0" applyFont="1" applyFill="1" applyProtection="1">
      <protection hidden="1"/>
    </xf>
    <xf numFmtId="0" fontId="42" fillId="0" borderId="0" xfId="0" applyFont="1"/>
    <xf numFmtId="167" fontId="1" fillId="3" borderId="12" xfId="0" applyNumberFormat="1" applyFont="1" applyFill="1" applyBorder="1" applyAlignment="1" applyProtection="1">
      <alignment horizontal="left"/>
      <protection hidden="1"/>
    </xf>
    <xf numFmtId="167" fontId="3" fillId="3" borderId="4" xfId="0" applyNumberFormat="1" applyFont="1" applyFill="1" applyBorder="1"/>
    <xf numFmtId="167" fontId="3" fillId="3" borderId="16" xfId="0" applyNumberFormat="1" applyFont="1" applyFill="1" applyBorder="1"/>
    <xf numFmtId="167" fontId="40" fillId="3" borderId="16" xfId="0" applyNumberFormat="1" applyFont="1" applyFill="1" applyBorder="1"/>
    <xf numFmtId="167" fontId="8" fillId="3" borderId="16" xfId="0" applyNumberFormat="1" applyFont="1" applyFill="1" applyBorder="1"/>
    <xf numFmtId="167" fontId="3" fillId="6" borderId="0" xfId="0" applyNumberFormat="1" applyFont="1" applyFill="1"/>
    <xf numFmtId="167" fontId="8" fillId="6" borderId="0" xfId="0" applyNumberFormat="1" applyFont="1" applyFill="1"/>
    <xf numFmtId="3" fontId="8" fillId="0" borderId="0" xfId="0" applyNumberFormat="1" applyFont="1" applyFill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0" fontId="0" fillId="0" borderId="0" xfId="0" applyFill="1" applyProtection="1"/>
    <xf numFmtId="0" fontId="1" fillId="0" borderId="0" xfId="0" applyFont="1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right"/>
      <protection locked="0"/>
    </xf>
    <xf numFmtId="0" fontId="30" fillId="0" borderId="0" xfId="0" applyFont="1" applyFill="1" applyAlignment="1" applyProtection="1">
      <alignment horizontal="right"/>
      <protection locked="0"/>
    </xf>
    <xf numFmtId="0" fontId="28" fillId="0" borderId="0" xfId="0" applyFont="1" applyFill="1" applyAlignment="1" applyProtection="1">
      <alignment horizontal="right"/>
      <protection locked="0"/>
    </xf>
    <xf numFmtId="0" fontId="8" fillId="0" borderId="0" xfId="0" applyFont="1" applyFill="1" applyAlignment="1" applyProtection="1">
      <alignment horizontal="right"/>
      <protection locked="0"/>
    </xf>
    <xf numFmtId="0" fontId="29" fillId="0" borderId="0" xfId="0" applyFont="1" applyFill="1" applyAlignment="1" applyProtection="1">
      <alignment horizontal="right"/>
      <protection locked="0"/>
    </xf>
    <xf numFmtId="169" fontId="3" fillId="3" borderId="0" xfId="0" applyNumberFormat="1" applyFont="1" applyFill="1" applyAlignment="1">
      <alignment horizontal="center"/>
    </xf>
    <xf numFmtId="167" fontId="3" fillId="3" borderId="0" xfId="0" applyNumberFormat="1" applyFont="1" applyFill="1" applyAlignment="1">
      <alignment vertical="top"/>
    </xf>
    <xf numFmtId="0" fontId="3" fillId="5" borderId="0" xfId="0" applyFont="1" applyFill="1" applyProtection="1">
      <protection hidden="1"/>
    </xf>
  </cellXfs>
  <cellStyles count="4">
    <cellStyle name="Euro" xfId="2"/>
    <cellStyle name="Normaali" xfId="0" builtinId="0"/>
    <cellStyle name="Normaali 2" xfId="3"/>
    <cellStyle name="Pilkku" xfId="1" builtinId="3"/>
  </cellStyles>
  <dxfs count="0"/>
  <tableStyles count="0" defaultTableStyle="TableStyleMedium9" defaultPivotStyle="PivotStyleLight16"/>
  <colors>
    <mruColors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Vuosikate, poistot ja nettoinvestoinnit, €/asukas</a:t>
            </a:r>
          </a:p>
        </c:rich>
      </c:tx>
      <c:layout>
        <c:manualLayout>
          <c:xMode val="edge"/>
          <c:yMode val="edge"/>
          <c:x val="0.29124036907215517"/>
          <c:y val="3.1914935062405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571173042845471E-2"/>
          <c:y val="0.25797905842110713"/>
          <c:w val="0.92150273026735685"/>
          <c:h val="0.6250008116387784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KEHIKKO!$A$86</c:f>
              <c:strCache>
                <c:ptCount val="1"/>
                <c:pt idx="0">
                  <c:v>Vuosikate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KEHIKKO!$B$85:$L$85</c:f>
              <c:strCache>
                <c:ptCount val="11"/>
                <c:pt idx="0">
                  <c:v>TP 2019</c:v>
                </c:pt>
                <c:pt idx="1">
                  <c:v>TP 2020</c:v>
                </c:pt>
                <c:pt idx="2">
                  <c:v>2 021</c:v>
                </c:pt>
                <c:pt idx="3">
                  <c:v>2 022</c:v>
                </c:pt>
                <c:pt idx="4">
                  <c:v>2 023</c:v>
                </c:pt>
                <c:pt idx="5">
                  <c:v>2 024</c:v>
                </c:pt>
                <c:pt idx="6">
                  <c:v>2 025</c:v>
                </c:pt>
                <c:pt idx="7">
                  <c:v>2 026</c:v>
                </c:pt>
                <c:pt idx="8">
                  <c:v>2 027</c:v>
                </c:pt>
                <c:pt idx="9">
                  <c:v>2 028</c:v>
                </c:pt>
                <c:pt idx="10">
                  <c:v>2 029</c:v>
                </c:pt>
              </c:strCache>
            </c:strRef>
          </c:cat>
          <c:val>
            <c:numRef>
              <c:f>KEHIKKO!$B$86:$L$86</c:f>
              <c:numCache>
                <c:formatCode>#,##0</c:formatCode>
                <c:ptCount val="11"/>
                <c:pt idx="0">
                  <c:v>318.01387631273235</c:v>
                </c:pt>
                <c:pt idx="1">
                  <c:v>740.05008299925282</c:v>
                </c:pt>
                <c:pt idx="2">
                  <c:v>626.0880324739303</c:v>
                </c:pt>
                <c:pt idx="3">
                  <c:v>468.01518470438879</c:v>
                </c:pt>
                <c:pt idx="4">
                  <c:v>561.89695635187059</c:v>
                </c:pt>
                <c:pt idx="5">
                  <c:v>422.11694695734496</c:v>
                </c:pt>
                <c:pt idx="6">
                  <c:v>429.46972303316022</c:v>
                </c:pt>
                <c:pt idx="7">
                  <c:v>444.58677974502439</c:v>
                </c:pt>
                <c:pt idx="8">
                  <c:v>460.95416376607938</c:v>
                </c:pt>
                <c:pt idx="9">
                  <c:v>478.63689635291689</c:v>
                </c:pt>
                <c:pt idx="10">
                  <c:v>497.69291724157057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9-41DE-AB8F-C15F2DC98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169984"/>
        <c:axId val="228176256"/>
      </c:barChart>
      <c:lineChart>
        <c:grouping val="standard"/>
        <c:varyColors val="0"/>
        <c:ser>
          <c:idx val="0"/>
          <c:order val="1"/>
          <c:tx>
            <c:strRef>
              <c:f>KEHIKKO!$A$87</c:f>
              <c:strCache>
                <c:ptCount val="1"/>
                <c:pt idx="0">
                  <c:v>Poistot ja arvonalent.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KEHIKKO!$B$85:$L$85</c:f>
              <c:strCache>
                <c:ptCount val="11"/>
                <c:pt idx="0">
                  <c:v>TP 2019</c:v>
                </c:pt>
                <c:pt idx="1">
                  <c:v>TP 2020</c:v>
                </c:pt>
                <c:pt idx="2">
                  <c:v>2 021</c:v>
                </c:pt>
                <c:pt idx="3">
                  <c:v>2 022</c:v>
                </c:pt>
                <c:pt idx="4">
                  <c:v>2 023</c:v>
                </c:pt>
                <c:pt idx="5">
                  <c:v>2 024</c:v>
                </c:pt>
                <c:pt idx="6">
                  <c:v>2 025</c:v>
                </c:pt>
                <c:pt idx="7">
                  <c:v>2 026</c:v>
                </c:pt>
                <c:pt idx="8">
                  <c:v>2 027</c:v>
                </c:pt>
                <c:pt idx="9">
                  <c:v>2 028</c:v>
                </c:pt>
                <c:pt idx="10">
                  <c:v>2 029</c:v>
                </c:pt>
              </c:strCache>
            </c:strRef>
          </c:cat>
          <c:val>
            <c:numRef>
              <c:f>KEHIKKO!$B$87:$L$87</c:f>
              <c:numCache>
                <c:formatCode>#,##0</c:formatCode>
                <c:ptCount val="11"/>
                <c:pt idx="0">
                  <c:v>419.57303261195528</c:v>
                </c:pt>
                <c:pt idx="1">
                  <c:v>435.62343195369488</c:v>
                </c:pt>
                <c:pt idx="2">
                  <c:v>438.02053651887098</c:v>
                </c:pt>
                <c:pt idx="3">
                  <c:v>440.21806615005113</c:v>
                </c:pt>
                <c:pt idx="4">
                  <c:v>442.46257067211189</c:v>
                </c:pt>
                <c:pt idx="5">
                  <c:v>444.75882793672645</c:v>
                </c:pt>
                <c:pt idx="6">
                  <c:v>447.11373832176719</c:v>
                </c:pt>
                <c:pt idx="7">
                  <c:v>449.5322357882352</c:v>
                </c:pt>
                <c:pt idx="8">
                  <c:v>452.01790411832644</c:v>
                </c:pt>
                <c:pt idx="9">
                  <c:v>454.57902954052179</c:v>
                </c:pt>
                <c:pt idx="10">
                  <c:v>457.21378347109822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9-41DE-AB8F-C15F2DC98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169984"/>
        <c:axId val="228176256"/>
      </c:lineChart>
      <c:lineChart>
        <c:grouping val="standard"/>
        <c:varyColors val="0"/>
        <c:ser>
          <c:idx val="2"/>
          <c:order val="2"/>
          <c:tx>
            <c:strRef>
              <c:f>KEHIKKO!$A$88</c:f>
              <c:strCache>
                <c:ptCount val="1"/>
                <c:pt idx="0">
                  <c:v>Nettoinvestoinnit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99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KEHIKKO!$B$85:$L$85</c:f>
              <c:strCache>
                <c:ptCount val="11"/>
                <c:pt idx="0">
                  <c:v>TP 2019</c:v>
                </c:pt>
                <c:pt idx="1">
                  <c:v>TP 2020</c:v>
                </c:pt>
                <c:pt idx="2">
                  <c:v>2 021</c:v>
                </c:pt>
                <c:pt idx="3">
                  <c:v>2 022</c:v>
                </c:pt>
                <c:pt idx="4">
                  <c:v>2 023</c:v>
                </c:pt>
                <c:pt idx="5">
                  <c:v>2 024</c:v>
                </c:pt>
                <c:pt idx="6">
                  <c:v>2 025</c:v>
                </c:pt>
                <c:pt idx="7">
                  <c:v>2 026</c:v>
                </c:pt>
                <c:pt idx="8">
                  <c:v>2 027</c:v>
                </c:pt>
                <c:pt idx="9">
                  <c:v>2 028</c:v>
                </c:pt>
                <c:pt idx="10">
                  <c:v>2 029</c:v>
                </c:pt>
              </c:strCache>
            </c:strRef>
          </c:cat>
          <c:val>
            <c:numRef>
              <c:f>KEHIKKO!$B$88:$L$88</c:f>
              <c:numCache>
                <c:formatCode>#,##0</c:formatCode>
                <c:ptCount val="11"/>
                <c:pt idx="0">
                  <c:v>497.33522970450963</c:v>
                </c:pt>
                <c:pt idx="1">
                  <c:v>603.36205117172847</c:v>
                </c:pt>
                <c:pt idx="2">
                  <c:v>603.06378811801426</c:v>
                </c:pt>
                <c:pt idx="3">
                  <c:v>602.47448551935747</c:v>
                </c:pt>
                <c:pt idx="4">
                  <c:v>601.93466582921178</c:v>
                </c:pt>
                <c:pt idx="5">
                  <c:v>601.4498397257679</c:v>
                </c:pt>
                <c:pt idx="6">
                  <c:v>601.02822878045117</c:v>
                </c:pt>
                <c:pt idx="7">
                  <c:v>600.67521881119671</c:v>
                </c:pt>
                <c:pt idx="8">
                  <c:v>600.3942599255198</c:v>
                </c:pt>
                <c:pt idx="9">
                  <c:v>600.19491366430816</c:v>
                </c:pt>
                <c:pt idx="10">
                  <c:v>600.07322236975926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9-41DE-AB8F-C15F2DC98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177792"/>
        <c:axId val="228179328"/>
      </c:lineChart>
      <c:catAx>
        <c:axId val="228169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8176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8176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 ;[Red]\-#,##0\ " sourceLinked="0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8169984"/>
        <c:crosses val="autoZero"/>
        <c:crossBetween val="between"/>
      </c:valAx>
      <c:catAx>
        <c:axId val="22817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8179328"/>
        <c:crosses val="autoZero"/>
        <c:auto val="0"/>
        <c:lblAlgn val="ctr"/>
        <c:lblOffset val="100"/>
        <c:noMultiLvlLbl val="0"/>
      </c:catAx>
      <c:valAx>
        <c:axId val="2281793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228177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8100144984696057"/>
          <c:y val="0.13829805193708974"/>
          <c:w val="0.48464217665913045"/>
          <c:h val="6.11702922029434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11" r="0.75000000000000311" t="1" header="0.4921259845000015" footer="0.492125984500001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Rahavarat ja lainakanta, €/asukas</a:t>
            </a:r>
          </a:p>
        </c:rich>
      </c:tx>
      <c:layout>
        <c:manualLayout>
          <c:xMode val="edge"/>
          <c:yMode val="edge"/>
          <c:x val="0.35307517084282664"/>
          <c:y val="3.3802863395223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04555808656066E-2"/>
          <c:y val="0.21126789622014774"/>
          <c:w val="0.86560364464692485"/>
          <c:h val="0.690141794319152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KEHIKKO!$A$116</c:f>
              <c:strCache>
                <c:ptCount val="1"/>
                <c:pt idx="0">
                  <c:v>Rahavarat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KEHIKKO!$B$115:$L$115</c:f>
              <c:strCache>
                <c:ptCount val="11"/>
                <c:pt idx="0">
                  <c:v>TP 2019</c:v>
                </c:pt>
                <c:pt idx="1">
                  <c:v>TP 2020</c:v>
                </c:pt>
                <c:pt idx="2">
                  <c:v>2 021</c:v>
                </c:pt>
                <c:pt idx="3">
                  <c:v>2 022</c:v>
                </c:pt>
                <c:pt idx="4">
                  <c:v>2 023</c:v>
                </c:pt>
                <c:pt idx="5">
                  <c:v>2 024</c:v>
                </c:pt>
                <c:pt idx="6">
                  <c:v>2 025</c:v>
                </c:pt>
                <c:pt idx="7">
                  <c:v>2 026</c:v>
                </c:pt>
                <c:pt idx="8">
                  <c:v>2 027</c:v>
                </c:pt>
                <c:pt idx="9">
                  <c:v>2 028</c:v>
                </c:pt>
                <c:pt idx="10">
                  <c:v>2 029</c:v>
                </c:pt>
              </c:strCache>
            </c:strRef>
          </c:cat>
          <c:val>
            <c:numRef>
              <c:f>KEHIKKO!$B$116:$L$116</c:f>
              <c:numCache>
                <c:formatCode>#,##0</c:formatCode>
                <c:ptCount val="11"/>
                <c:pt idx="0">
                  <c:v>920.93598873823385</c:v>
                </c:pt>
                <c:pt idx="1">
                  <c:v>1172.7709031656002</c:v>
                </c:pt>
                <c:pt idx="2">
                  <c:v>1119.7526880930977</c:v>
                </c:pt>
                <c:pt idx="3">
                  <c:v>1050.0272502901237</c:v>
                </c:pt>
                <c:pt idx="4">
                  <c:v>987.68570449397339</c:v>
                </c:pt>
                <c:pt idx="5">
                  <c:v>910.43518074609244</c:v>
                </c:pt>
                <c:pt idx="6">
                  <c:v>831.43856224470608</c:v>
                </c:pt>
                <c:pt idx="7">
                  <c:v>751.57448587071974</c:v>
                </c:pt>
                <c:pt idx="8">
                  <c:v>671.14811961171199</c:v>
                </c:pt>
                <c:pt idx="9">
                  <c:v>590.48398751550565</c:v>
                </c:pt>
                <c:pt idx="10">
                  <c:v>509.90621050371385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4-4DB0-8EEC-C9287D970E1A}"/>
            </c:ext>
          </c:extLst>
        </c:ser>
        <c:ser>
          <c:idx val="1"/>
          <c:order val="1"/>
          <c:tx>
            <c:strRef>
              <c:f>KEHIKKO!$A$117</c:f>
              <c:strCache>
                <c:ptCount val="1"/>
                <c:pt idx="0">
                  <c:v>Lainakanta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KEHIKKO!$B$115:$L$115</c:f>
              <c:strCache>
                <c:ptCount val="11"/>
                <c:pt idx="0">
                  <c:v>TP 2019</c:v>
                </c:pt>
                <c:pt idx="1">
                  <c:v>TP 2020</c:v>
                </c:pt>
                <c:pt idx="2">
                  <c:v>2 021</c:v>
                </c:pt>
                <c:pt idx="3">
                  <c:v>2 022</c:v>
                </c:pt>
                <c:pt idx="4">
                  <c:v>2 023</c:v>
                </c:pt>
                <c:pt idx="5">
                  <c:v>2 024</c:v>
                </c:pt>
                <c:pt idx="6">
                  <c:v>2 025</c:v>
                </c:pt>
                <c:pt idx="7">
                  <c:v>2 026</c:v>
                </c:pt>
                <c:pt idx="8">
                  <c:v>2 027</c:v>
                </c:pt>
                <c:pt idx="9">
                  <c:v>2 028</c:v>
                </c:pt>
                <c:pt idx="10">
                  <c:v>2 029</c:v>
                </c:pt>
              </c:strCache>
            </c:strRef>
          </c:cat>
          <c:val>
            <c:numRef>
              <c:f>KEHIKKO!$B$117:$L$117</c:f>
              <c:numCache>
                <c:formatCode>#,##0</c:formatCode>
                <c:ptCount val="11"/>
                <c:pt idx="0">
                  <c:v>3351.8961649435309</c:v>
                </c:pt>
                <c:pt idx="1">
                  <c:v>3458.3115902424274</c:v>
                </c:pt>
                <c:pt idx="2">
                  <c:v>3496.473031203444</c:v>
                </c:pt>
                <c:pt idx="3">
                  <c:v>3674.1054292477302</c:v>
                </c:pt>
                <c:pt idx="4">
                  <c:v>3764.5681907251478</c:v>
                </c:pt>
                <c:pt idx="5">
                  <c:v>3979.438991525763</c:v>
                </c:pt>
                <c:pt idx="6">
                  <c:v>4184.7939648319107</c:v>
                </c:pt>
                <c:pt idx="7">
                  <c:v>4373.9256746905039</c:v>
                </c:pt>
                <c:pt idx="8">
                  <c:v>4546.0682777344737</c:v>
                </c:pt>
                <c:pt idx="9">
                  <c:v>4700.4606520559892</c:v>
                </c:pt>
                <c:pt idx="10">
                  <c:v>4836.1916590088058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E4-4DB0-8EEC-C9287D970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29344"/>
        <c:axId val="230331136"/>
      </c:barChart>
      <c:lineChart>
        <c:grouping val="standard"/>
        <c:varyColors val="0"/>
        <c:ser>
          <c:idx val="2"/>
          <c:order val="2"/>
          <c:tx>
            <c:strRef>
              <c:f>KEHIKKO!$A$118</c:f>
              <c:strCache>
                <c:ptCount val="1"/>
                <c:pt idx="0">
                  <c:v>Nettovelka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KEHIKKO!$B$115:$L$115</c:f>
              <c:strCache>
                <c:ptCount val="11"/>
                <c:pt idx="0">
                  <c:v>TP 2019</c:v>
                </c:pt>
                <c:pt idx="1">
                  <c:v>TP 2020</c:v>
                </c:pt>
                <c:pt idx="2">
                  <c:v>2 021</c:v>
                </c:pt>
                <c:pt idx="3">
                  <c:v>2 022</c:v>
                </c:pt>
                <c:pt idx="4">
                  <c:v>2 023</c:v>
                </c:pt>
                <c:pt idx="5">
                  <c:v>2 024</c:v>
                </c:pt>
                <c:pt idx="6">
                  <c:v>2 025</c:v>
                </c:pt>
                <c:pt idx="7">
                  <c:v>2 026</c:v>
                </c:pt>
                <c:pt idx="8">
                  <c:v>2 027</c:v>
                </c:pt>
                <c:pt idx="9">
                  <c:v>2 028</c:v>
                </c:pt>
                <c:pt idx="10">
                  <c:v>2 029</c:v>
                </c:pt>
              </c:strCache>
            </c:strRef>
          </c:cat>
          <c:val>
            <c:numRef>
              <c:f>KEHIKKO!$B$118:$L$118</c:f>
              <c:numCache>
                <c:formatCode>#,##0</c:formatCode>
                <c:ptCount val="11"/>
                <c:pt idx="0">
                  <c:v>2430.9601762052971</c:v>
                </c:pt>
                <c:pt idx="1">
                  <c:v>2285.5406870768275</c:v>
                </c:pt>
                <c:pt idx="2">
                  <c:v>2376.7203431103462</c:v>
                </c:pt>
                <c:pt idx="3">
                  <c:v>2624.0781789576067</c:v>
                </c:pt>
                <c:pt idx="4">
                  <c:v>2776.8824862311744</c:v>
                </c:pt>
                <c:pt idx="5">
                  <c:v>3069.0038107796704</c:v>
                </c:pt>
                <c:pt idx="6">
                  <c:v>3353.3554025872045</c:v>
                </c:pt>
                <c:pt idx="7">
                  <c:v>3622.3511888197841</c:v>
                </c:pt>
                <c:pt idx="8">
                  <c:v>3874.9201581227617</c:v>
                </c:pt>
                <c:pt idx="9">
                  <c:v>4109.9766645404834</c:v>
                </c:pt>
                <c:pt idx="10">
                  <c:v>4326.2854485050921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E4-4DB0-8EEC-C9287D970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29344"/>
        <c:axId val="230331136"/>
      </c:lineChart>
      <c:catAx>
        <c:axId val="230329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3033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331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0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303293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209567198178048"/>
          <c:y val="4.7887389809900531E-2"/>
          <c:w val="0.15148063781321194"/>
          <c:h val="0.14647907471263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11" r="0.75000000000000311" t="1" header="0.4921259845000015" footer="0.4921259845000015"/>
    <c:pageSetup/>
  </c:printSettings>
</c:chartSpace>
</file>

<file path=xl/ctrlProps/ctrlProp1.xml><?xml version="1.0" encoding="utf-8"?>
<formControlPr xmlns="http://schemas.microsoft.com/office/spreadsheetml/2009/9/main" objectType="Drop" dropLines="15" dropStyle="combo" dx="15" fmlaLink="$A$5" fmlaRange="pohjatiedot!$B$3:$B$296" sel="95" val="85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80</xdr:row>
      <xdr:rowOff>9525</xdr:rowOff>
    </xdr:from>
    <xdr:to>
      <xdr:col>12</xdr:col>
      <xdr:colOff>142875</xdr:colOff>
      <xdr:row>105</xdr:row>
      <xdr:rowOff>9525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695325</xdr:colOff>
      <xdr:row>105</xdr:row>
      <xdr:rowOff>9525</xdr:rowOff>
    </xdr:from>
    <xdr:to>
      <xdr:col>12</xdr:col>
      <xdr:colOff>133350</xdr:colOff>
      <xdr:row>128</xdr:row>
      <xdr:rowOff>104775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352425</xdr:colOff>
      <xdr:row>56</xdr:row>
      <xdr:rowOff>0</xdr:rowOff>
    </xdr:from>
    <xdr:to>
      <xdr:col>30</xdr:col>
      <xdr:colOff>352425</xdr:colOff>
      <xdr:row>64</xdr:row>
      <xdr:rowOff>47625</xdr:rowOff>
    </xdr:to>
    <xdr:cxnSp macro="">
      <xdr:nvCxnSpPr>
        <xdr:cNvPr id="1052" name="AutoShape 28"/>
        <xdr:cNvCxnSpPr>
          <a:cxnSpLocks noChangeShapeType="1"/>
        </xdr:cNvCxnSpPr>
      </xdr:nvCxnSpPr>
      <xdr:spPr bwMode="auto">
        <a:xfrm>
          <a:off x="18954750" y="8086725"/>
          <a:ext cx="0" cy="1190625"/>
        </a:xfrm>
        <a:prstGeom prst="straightConnector1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31</xdr:col>
      <xdr:colOff>352425</xdr:colOff>
      <xdr:row>56</xdr:row>
      <xdr:rowOff>0</xdr:rowOff>
    </xdr:from>
    <xdr:to>
      <xdr:col>31</xdr:col>
      <xdr:colOff>352425</xdr:colOff>
      <xdr:row>64</xdr:row>
      <xdr:rowOff>47625</xdr:rowOff>
    </xdr:to>
    <xdr:cxnSp macro="">
      <xdr:nvCxnSpPr>
        <xdr:cNvPr id="1053" name="AutoShape 29"/>
        <xdr:cNvCxnSpPr>
          <a:cxnSpLocks noChangeShapeType="1"/>
        </xdr:cNvCxnSpPr>
      </xdr:nvCxnSpPr>
      <xdr:spPr bwMode="auto">
        <a:xfrm>
          <a:off x="19488150" y="8086725"/>
          <a:ext cx="0" cy="1190625"/>
        </a:xfrm>
        <a:prstGeom prst="straightConnector1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</xdr:row>
          <xdr:rowOff>57150</xdr:rowOff>
        </xdr:from>
        <xdr:to>
          <xdr:col>8</xdr:col>
          <xdr:colOff>565150</xdr:colOff>
          <xdr:row>2</xdr:row>
          <xdr:rowOff>69850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0.81735</cdr:x>
      <cdr:y>0.14322</cdr:y>
    </cdr:from>
    <cdr:to>
      <cdr:x>0.92956</cdr:x>
      <cdr:y>0.23083</cdr:y>
    </cdr:to>
    <cdr:sp macro="" textlink="">
      <cdr:nvSpPr>
        <cdr:cNvPr id="2053" name="AutoShap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4222" y="517473"/>
          <a:ext cx="940546" cy="314610"/>
        </a:xfrm>
        <a:prstGeom xmlns:a="http://schemas.openxmlformats.org/drawingml/2006/main" prst="wedgeRectCallout">
          <a:avLst>
            <a:gd name="adj1" fmla="val -40722"/>
            <a:gd name="adj2" fmla="val -13634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Nettoinvestoinnit positiivisina lukuina</a:t>
          </a:r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abSelected="1" workbookViewId="0">
      <selection activeCell="H1" sqref="H1"/>
    </sheetView>
  </sheetViews>
  <sheetFormatPr defaultRowHeight="12.5" x14ac:dyDescent="0.25"/>
  <cols>
    <col min="1" max="7" width="9.33203125" style="108"/>
    <col min="8" max="8" width="10.109375" style="108" bestFit="1" customWidth="1"/>
    <col min="9" max="14" width="9.33203125" style="108"/>
  </cols>
  <sheetData>
    <row r="1" spans="1:14" x14ac:dyDescent="0.25">
      <c r="A1" s="125" t="s">
        <v>436</v>
      </c>
      <c r="B1" s="125"/>
      <c r="C1" s="125"/>
      <c r="D1" s="125"/>
      <c r="E1" s="125"/>
      <c r="F1" s="125"/>
      <c r="G1" s="125"/>
      <c r="H1" s="126">
        <v>44357</v>
      </c>
      <c r="I1" s="125"/>
      <c r="J1" s="125"/>
      <c r="K1" s="125"/>
      <c r="L1" s="125"/>
      <c r="M1" s="125"/>
      <c r="N1" s="125"/>
    </row>
    <row r="2" spans="1:14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ht="18" x14ac:dyDescent="0.4">
      <c r="A3" s="127" t="s">
        <v>333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14" ht="12" customHeight="1" x14ac:dyDescent="0.4">
      <c r="A4" s="127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ht="18" x14ac:dyDescent="0.4">
      <c r="A5" s="127" t="s">
        <v>472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1:14" ht="18" x14ac:dyDescent="0.4">
      <c r="A6" s="127" t="s">
        <v>473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</row>
    <row r="7" spans="1:14" ht="12" customHeight="1" x14ac:dyDescent="0.4">
      <c r="A7" s="127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</row>
    <row r="8" spans="1:14" s="499" customFormat="1" ht="14" x14ac:dyDescent="0.3">
      <c r="A8" s="497" t="s">
        <v>446</v>
      </c>
      <c r="B8" s="498"/>
      <c r="C8" s="498"/>
      <c r="D8" s="498"/>
      <c r="E8" s="498"/>
      <c r="F8" s="498"/>
      <c r="G8" s="498"/>
      <c r="H8" s="498"/>
      <c r="I8" s="498"/>
      <c r="J8" s="498"/>
      <c r="K8" s="498"/>
      <c r="L8" s="498"/>
      <c r="M8" s="498"/>
      <c r="N8" s="498"/>
    </row>
    <row r="9" spans="1:14" s="3" customFormat="1" ht="14" x14ac:dyDescent="0.3">
      <c r="A9" s="497" t="s">
        <v>462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</row>
    <row r="10" spans="1:14" s="3" customFormat="1" ht="14" x14ac:dyDescent="0.3">
      <c r="A10" s="497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</row>
    <row r="11" spans="1:14" ht="15.5" x14ac:dyDescent="0.35">
      <c r="A11" s="131" t="s">
        <v>402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</row>
    <row r="12" spans="1:14" x14ac:dyDescent="0.25">
      <c r="A12" s="125" t="s">
        <v>417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</row>
    <row r="13" spans="1:14" x14ac:dyDescent="0.25">
      <c r="A13" s="125" t="s">
        <v>403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</row>
    <row r="14" spans="1:14" x14ac:dyDescent="0.25">
      <c r="A14" s="125" t="s">
        <v>404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</row>
    <row r="15" spans="1:14" x14ac:dyDescent="0.25">
      <c r="A15" s="125" t="s">
        <v>431</v>
      </c>
      <c r="B15" s="125"/>
      <c r="C15" s="125"/>
      <c r="D15" s="374"/>
      <c r="E15" s="374"/>
      <c r="F15" s="374"/>
      <c r="G15" s="374"/>
      <c r="H15" s="374"/>
      <c r="I15" s="374"/>
      <c r="J15" s="374"/>
      <c r="K15" s="374"/>
      <c r="L15" s="374"/>
      <c r="M15" s="374"/>
      <c r="N15" s="125"/>
    </row>
    <row r="16" spans="1:14" ht="13" x14ac:dyDescent="0.3">
      <c r="A16" s="375" t="s">
        <v>432</v>
      </c>
      <c r="B16" s="374"/>
      <c r="C16" s="374"/>
      <c r="D16" s="374"/>
      <c r="E16" s="374"/>
      <c r="F16" s="374"/>
      <c r="G16" s="374"/>
      <c r="H16" s="374"/>
      <c r="I16" s="374"/>
      <c r="J16" s="374"/>
      <c r="K16" s="374"/>
      <c r="L16" s="374"/>
      <c r="M16" s="374"/>
      <c r="N16" s="125"/>
    </row>
    <row r="17" spans="1:14" ht="13" x14ac:dyDescent="0.3">
      <c r="A17" s="375" t="s">
        <v>466</v>
      </c>
      <c r="B17" s="374"/>
      <c r="C17" s="374"/>
      <c r="D17" s="374"/>
      <c r="E17" s="374"/>
      <c r="F17" s="374"/>
      <c r="G17" s="374"/>
      <c r="H17" s="374"/>
      <c r="I17" s="374"/>
      <c r="J17" s="374"/>
      <c r="K17" s="374"/>
      <c r="L17" s="374"/>
      <c r="M17" s="125"/>
      <c r="N17" s="125"/>
    </row>
    <row r="18" spans="1:14" x14ac:dyDescent="0.25">
      <c r="A18" s="125" t="s">
        <v>355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</row>
    <row r="19" spans="1:14" x14ac:dyDescent="0.25">
      <c r="A19" s="125" t="s">
        <v>405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</row>
    <row r="20" spans="1:14" x14ac:dyDescent="0.25">
      <c r="A20" s="125" t="s">
        <v>356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</row>
    <row r="21" spans="1:14" x14ac:dyDescent="0.25">
      <c r="A21" s="125" t="s">
        <v>357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</row>
    <row r="22" spans="1:14" x14ac:dyDescent="0.25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</row>
    <row r="23" spans="1:14" ht="13" x14ac:dyDescent="0.3">
      <c r="A23" s="322" t="s">
        <v>343</v>
      </c>
      <c r="B23" s="323"/>
      <c r="C23" s="323"/>
      <c r="D23" s="323"/>
      <c r="E23" s="323"/>
      <c r="F23" s="323"/>
      <c r="G23" s="323"/>
      <c r="H23" s="323"/>
      <c r="I23" s="125"/>
      <c r="J23" s="125"/>
      <c r="K23" s="125"/>
      <c r="L23" s="125"/>
      <c r="M23" s="125"/>
      <c r="N23" s="125"/>
    </row>
    <row r="24" spans="1:14" x14ac:dyDescent="0.25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</row>
    <row r="25" spans="1:14" ht="15.5" x14ac:dyDescent="0.35">
      <c r="A25" s="131" t="s">
        <v>406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</row>
    <row r="26" spans="1:14" ht="14" x14ac:dyDescent="0.3">
      <c r="A26" s="132" t="s">
        <v>346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</row>
    <row r="27" spans="1:14" x14ac:dyDescent="0.25">
      <c r="A27" s="125" t="s">
        <v>467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</row>
    <row r="28" spans="1:14" x14ac:dyDescent="0.25">
      <c r="A28" s="125" t="s">
        <v>442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</row>
    <row r="29" spans="1:14" ht="14" x14ac:dyDescent="0.3">
      <c r="A29" s="132" t="s">
        <v>347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</row>
    <row r="30" spans="1:14" x14ac:dyDescent="0.25">
      <c r="A30" s="125" t="s">
        <v>463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</row>
    <row r="31" spans="1:14" x14ac:dyDescent="0.25">
      <c r="A31" s="125" t="s">
        <v>374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</row>
    <row r="32" spans="1:14" x14ac:dyDescent="0.25">
      <c r="A32" s="125" t="s">
        <v>334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</row>
    <row r="33" spans="1:14" x14ac:dyDescent="0.25">
      <c r="A33" s="125" t="s">
        <v>335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</row>
    <row r="34" spans="1:14" ht="14" x14ac:dyDescent="0.3">
      <c r="A34" s="132" t="s">
        <v>348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</row>
    <row r="35" spans="1:14" x14ac:dyDescent="0.25">
      <c r="A35" s="125" t="s">
        <v>336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</row>
    <row r="36" spans="1:14" x14ac:dyDescent="0.25">
      <c r="A36" s="125" t="s">
        <v>464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</row>
    <row r="37" spans="1:14" x14ac:dyDescent="0.25">
      <c r="A37" s="125" t="s">
        <v>465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</row>
    <row r="38" spans="1:14" x14ac:dyDescent="0.25">
      <c r="A38" s="125" t="s">
        <v>337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</row>
    <row r="39" spans="1:14" ht="13" x14ac:dyDescent="0.3">
      <c r="A39" s="125"/>
      <c r="B39" s="130" t="s">
        <v>338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</row>
    <row r="40" spans="1:14" ht="13" x14ac:dyDescent="0.3">
      <c r="A40" s="125"/>
      <c r="B40" s="130" t="s">
        <v>339</v>
      </c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</row>
    <row r="41" spans="1:14" ht="13" x14ac:dyDescent="0.3">
      <c r="A41" s="125"/>
      <c r="B41" s="130" t="s">
        <v>358</v>
      </c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</row>
    <row r="42" spans="1:14" ht="13" x14ac:dyDescent="0.3">
      <c r="A42" s="125"/>
      <c r="B42" s="130" t="s">
        <v>340</v>
      </c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</row>
    <row r="43" spans="1:14" ht="13" x14ac:dyDescent="0.3">
      <c r="A43" s="125"/>
      <c r="B43" s="130" t="s">
        <v>341</v>
      </c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</row>
    <row r="44" spans="1:14" ht="13" x14ac:dyDescent="0.3">
      <c r="A44" s="125"/>
      <c r="B44" s="130" t="s">
        <v>468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</row>
    <row r="45" spans="1:14" x14ac:dyDescent="0.25">
      <c r="A45" s="125" t="s">
        <v>342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</row>
    <row r="46" spans="1:14" x14ac:dyDescent="0.25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</row>
    <row r="47" spans="1:14" x14ac:dyDescent="0.25">
      <c r="A47" s="125" t="s">
        <v>344</v>
      </c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</row>
    <row r="48" spans="1:14" x14ac:dyDescent="0.25">
      <c r="A48" s="125" t="s">
        <v>345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</row>
    <row r="49" spans="1:14" x14ac:dyDescent="0.25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</row>
    <row r="50" spans="1:14" x14ac:dyDescent="0.25">
      <c r="A50" s="125" t="s">
        <v>407</v>
      </c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</row>
    <row r="51" spans="1:14" ht="14" x14ac:dyDescent="0.3">
      <c r="A51" s="132" t="s">
        <v>350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</row>
    <row r="52" spans="1:14" x14ac:dyDescent="0.25">
      <c r="A52" s="125" t="s">
        <v>408</v>
      </c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</row>
    <row r="53" spans="1:14" x14ac:dyDescent="0.25">
      <c r="A53" s="125" t="s">
        <v>351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</row>
    <row r="54" spans="1:14" x14ac:dyDescent="0.25">
      <c r="A54" s="125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</row>
    <row r="55" spans="1:14" x14ac:dyDescent="0.25">
      <c r="A55" s="125" t="s">
        <v>409</v>
      </c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</row>
    <row r="56" spans="1:14" x14ac:dyDescent="0.25">
      <c r="A56" s="125" t="s">
        <v>410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</row>
    <row r="57" spans="1:14" x14ac:dyDescent="0.25">
      <c r="A57" s="125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</row>
    <row r="58" spans="1:14" ht="13" x14ac:dyDescent="0.3">
      <c r="A58" s="125" t="s">
        <v>411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</row>
    <row r="59" spans="1:14" x14ac:dyDescent="0.25">
      <c r="A59" s="125" t="s">
        <v>412</v>
      </c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</row>
    <row r="60" spans="1:14" x14ac:dyDescent="0.25">
      <c r="A60" s="324" t="s">
        <v>413</v>
      </c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</row>
    <row r="61" spans="1:14" x14ac:dyDescent="0.25">
      <c r="A61" s="324"/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</row>
    <row r="62" spans="1:14" ht="13" x14ac:dyDescent="0.3">
      <c r="A62" s="325" t="s">
        <v>414</v>
      </c>
      <c r="B62" s="326"/>
      <c r="C62" s="326"/>
      <c r="D62" s="326"/>
      <c r="E62" s="326"/>
      <c r="F62" s="326"/>
      <c r="G62" s="326"/>
      <c r="H62" s="326"/>
      <c r="I62" s="326"/>
      <c r="J62" s="326"/>
      <c r="K62" s="326"/>
      <c r="L62" s="326"/>
      <c r="M62" s="326"/>
      <c r="N62" s="327"/>
    </row>
    <row r="63" spans="1:14" x14ac:dyDescent="0.25">
      <c r="A63" s="328" t="s">
        <v>415</v>
      </c>
      <c r="B63" s="329"/>
      <c r="C63" s="329"/>
      <c r="D63" s="329"/>
      <c r="E63" s="329"/>
      <c r="F63" s="329"/>
      <c r="G63" s="329"/>
      <c r="H63" s="329"/>
      <c r="I63" s="329"/>
      <c r="J63" s="329"/>
      <c r="K63" s="329"/>
      <c r="L63" s="329"/>
      <c r="M63" s="329"/>
      <c r="N63" s="330"/>
    </row>
    <row r="64" spans="1:14" x14ac:dyDescent="0.25">
      <c r="B64" s="324"/>
      <c r="C64" s="324"/>
      <c r="D64" s="324"/>
      <c r="E64" s="324"/>
      <c r="F64" s="324"/>
      <c r="G64" s="324"/>
      <c r="H64" s="324"/>
      <c r="I64" s="324"/>
      <c r="J64" s="324"/>
      <c r="K64" s="324"/>
      <c r="L64" s="324"/>
      <c r="M64" s="324"/>
      <c r="N64" s="324"/>
    </row>
    <row r="65" spans="1:18" x14ac:dyDescent="0.25">
      <c r="A65" s="125" t="s">
        <v>375</v>
      </c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</row>
    <row r="66" spans="1:18" x14ac:dyDescent="0.25">
      <c r="A66" s="125" t="s">
        <v>352</v>
      </c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</row>
    <row r="67" spans="1:18" x14ac:dyDescent="0.25">
      <c r="A67" s="125" t="s">
        <v>416</v>
      </c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</row>
    <row r="68" spans="1:18" x14ac:dyDescent="0.25">
      <c r="A68" s="125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</row>
    <row r="69" spans="1:18" ht="15.5" x14ac:dyDescent="0.35">
      <c r="A69" s="131"/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</row>
    <row r="70" spans="1:18" s="170" customFormat="1" ht="15.5" x14ac:dyDescent="0.35">
      <c r="A70" s="125"/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R70"/>
    </row>
    <row r="71" spans="1:18" ht="15.5" x14ac:dyDescent="0.35">
      <c r="A71" s="125"/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R71" s="170"/>
    </row>
    <row r="72" spans="1:18" ht="13" x14ac:dyDescent="0.3">
      <c r="A72" s="331" t="s">
        <v>421</v>
      </c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</row>
  </sheetData>
  <phoneticPr fontId="15" type="noConversion"/>
  <pageMargins left="0.59055118110236227" right="0.59055118110236227" top="0.59055118110236227" bottom="0.59055118110236227" header="0.51181102362204722" footer="0.51181102362204722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60"/>
  <sheetViews>
    <sheetView showGridLines="0" workbookViewId="0">
      <pane ySplit="5" topLeftCell="A6" activePane="bottomLeft" state="frozen"/>
      <selection pane="bottomLeft" activeCell="B6" sqref="B6"/>
    </sheetView>
  </sheetViews>
  <sheetFormatPr defaultRowHeight="10" x14ac:dyDescent="0.2"/>
  <cols>
    <col min="1" max="1" width="29.6640625" style="2" customWidth="1"/>
    <col min="2" max="2" width="11.44140625" style="1" customWidth="1"/>
    <col min="3" max="3" width="11.44140625" style="2" customWidth="1"/>
    <col min="4" max="4" width="11.77734375" style="2" customWidth="1"/>
    <col min="5" max="5" width="12" style="2" customWidth="1"/>
    <col min="6" max="7" width="11.33203125" style="2" customWidth="1"/>
    <col min="8" max="8" width="12.6640625" style="2" customWidth="1"/>
    <col min="9" max="9" width="11" style="2" customWidth="1"/>
    <col min="10" max="10" width="12.6640625" style="2" customWidth="1"/>
    <col min="11" max="11" width="13.33203125" style="2" customWidth="1"/>
    <col min="12" max="12" width="12.109375" style="2" customWidth="1"/>
    <col min="13" max="13" width="11.88671875" style="2" customWidth="1"/>
    <col min="14" max="14" width="2.109375" style="2" customWidth="1"/>
    <col min="15" max="15" width="10.6640625" style="2" bestFit="1" customWidth="1"/>
    <col min="16" max="16" width="13" style="2" customWidth="1"/>
    <col min="18" max="18" width="10.6640625" bestFit="1" customWidth="1"/>
  </cols>
  <sheetData>
    <row r="1" spans="1:33" ht="10.5" x14ac:dyDescent="0.25">
      <c r="A1" s="346" t="s">
        <v>420</v>
      </c>
      <c r="B1" s="27"/>
      <c r="C1" s="27"/>
      <c r="D1" s="89"/>
      <c r="E1" s="93"/>
      <c r="F1" s="27"/>
      <c r="G1" s="59"/>
      <c r="H1" s="110" t="s">
        <v>354</v>
      </c>
      <c r="I1" s="59"/>
      <c r="J1" s="59"/>
      <c r="K1" s="27"/>
      <c r="L1" s="55">
        <v>44357</v>
      </c>
      <c r="M1" s="27"/>
      <c r="N1" s="27"/>
      <c r="O1" s="27"/>
      <c r="P1" s="27"/>
      <c r="Q1" s="32"/>
      <c r="R1" s="32"/>
      <c r="S1" s="32"/>
      <c r="T1" s="32"/>
      <c r="U1" s="32"/>
      <c r="V1" s="32"/>
      <c r="W1" s="32"/>
      <c r="X1" s="32"/>
    </row>
    <row r="2" spans="1:33" ht="20" x14ac:dyDescent="0.4">
      <c r="A2" s="28" t="s">
        <v>333</v>
      </c>
      <c r="B2" s="27"/>
      <c r="C2" s="27"/>
      <c r="D2" s="27"/>
      <c r="E2" s="27"/>
      <c r="F2" s="516">
        <v>12.39</v>
      </c>
      <c r="G2" s="59"/>
      <c r="H2" s="60"/>
      <c r="I2" s="61"/>
      <c r="J2" s="215" t="s">
        <v>452</v>
      </c>
      <c r="K2" s="27"/>
      <c r="L2" s="135"/>
      <c r="M2" s="27"/>
      <c r="N2" s="27"/>
      <c r="O2" s="27"/>
      <c r="P2" s="93"/>
      <c r="Q2" s="32"/>
      <c r="R2" s="32"/>
      <c r="S2" s="32"/>
      <c r="T2" s="32"/>
      <c r="U2" s="32"/>
      <c r="V2" s="32"/>
      <c r="W2" s="32"/>
      <c r="X2" s="32"/>
    </row>
    <row r="3" spans="1:33" ht="18" x14ac:dyDescent="0.4">
      <c r="A3" s="353" t="s">
        <v>423</v>
      </c>
      <c r="B3" s="13"/>
      <c r="C3" s="13"/>
      <c r="D3" s="347"/>
      <c r="E3" s="27"/>
      <c r="F3" s="517" t="s">
        <v>470</v>
      </c>
      <c r="G3" s="59"/>
      <c r="H3" s="217"/>
      <c r="I3" s="218"/>
      <c r="J3" s="332"/>
      <c r="K3" s="27"/>
      <c r="M3" s="27"/>
      <c r="N3" s="27"/>
      <c r="O3" s="27"/>
      <c r="P3" s="27"/>
      <c r="Q3" s="29"/>
      <c r="R3" s="29"/>
      <c r="S3" s="29"/>
      <c r="T3" s="29"/>
      <c r="U3" s="29"/>
      <c r="V3" s="29"/>
      <c r="W3" s="29"/>
      <c r="X3" s="29"/>
      <c r="Y3" s="1"/>
      <c r="Z3" s="1"/>
      <c r="AA3" s="1"/>
      <c r="AB3" s="1"/>
      <c r="AC3" s="1"/>
      <c r="AD3" s="1"/>
      <c r="AE3" s="1"/>
      <c r="AF3" s="1"/>
      <c r="AG3" s="1"/>
    </row>
    <row r="4" spans="1:33" ht="10.5" x14ac:dyDescent="0.25">
      <c r="A4" s="62" t="str">
        <f>INDEX(pohjatiedot!$B$3:$B$296,KEHIKKO!$A$5)</f>
        <v>KOKO MAA (Manner-Suomi)</v>
      </c>
      <c r="B4" s="230"/>
      <c r="C4" s="230"/>
      <c r="D4" s="229"/>
      <c r="E4" s="219"/>
      <c r="F4" s="219"/>
      <c r="G4" s="219"/>
      <c r="H4" s="219"/>
      <c r="I4" s="219"/>
      <c r="J4" s="219"/>
      <c r="K4" s="219"/>
      <c r="L4" s="219"/>
      <c r="M4" s="219"/>
      <c r="N4" s="18"/>
      <c r="O4" s="18"/>
      <c r="P4" s="18"/>
      <c r="Q4" s="29"/>
      <c r="R4" s="29"/>
      <c r="S4" s="33"/>
      <c r="T4" s="29"/>
      <c r="U4" s="29"/>
      <c r="V4" s="29"/>
      <c r="W4" s="29"/>
      <c r="X4" s="29"/>
      <c r="Y4" s="1"/>
      <c r="Z4" s="1"/>
      <c r="AA4" s="1"/>
      <c r="AB4" s="1"/>
      <c r="AC4" s="1"/>
      <c r="AD4" s="1"/>
      <c r="AE4" s="1"/>
      <c r="AF4" s="1"/>
      <c r="AG4" s="1"/>
    </row>
    <row r="5" spans="1:33" ht="10.5" x14ac:dyDescent="0.25">
      <c r="A5" s="63">
        <v>95</v>
      </c>
      <c r="B5" s="344" t="s">
        <v>440</v>
      </c>
      <c r="C5" s="345" t="s">
        <v>451</v>
      </c>
      <c r="D5" s="136">
        <v>2021</v>
      </c>
      <c r="E5" s="335">
        <v>2022</v>
      </c>
      <c r="F5" s="335">
        <v>2023</v>
      </c>
      <c r="G5" s="396">
        <v>2024</v>
      </c>
      <c r="H5" s="335">
        <v>2025</v>
      </c>
      <c r="I5" s="335">
        <v>2026</v>
      </c>
      <c r="J5" s="335">
        <v>2027</v>
      </c>
      <c r="K5" s="335">
        <v>2028</v>
      </c>
      <c r="L5" s="335">
        <v>2029</v>
      </c>
      <c r="M5" s="335">
        <v>2030</v>
      </c>
      <c r="N5" s="30"/>
      <c r="O5" s="30"/>
      <c r="P5" s="149"/>
      <c r="Q5" s="29"/>
      <c r="R5" s="34"/>
      <c r="S5" s="35"/>
      <c r="T5" s="35"/>
      <c r="U5" s="35"/>
      <c r="V5" s="35"/>
      <c r="W5" s="35"/>
      <c r="X5" s="35"/>
      <c r="Y5" s="7"/>
      <c r="Z5" s="7"/>
      <c r="AA5" s="7"/>
      <c r="AB5" s="7"/>
      <c r="AC5" s="7"/>
      <c r="AD5" s="7"/>
      <c r="AE5" s="8"/>
      <c r="AF5" s="8"/>
      <c r="AG5" s="9"/>
    </row>
    <row r="6" spans="1:33" ht="15.5" x14ac:dyDescent="0.35">
      <c r="A6" s="279" t="s">
        <v>324</v>
      </c>
      <c r="B6" s="446"/>
      <c r="C6" s="446"/>
      <c r="D6" s="384"/>
      <c r="E6" s="384"/>
      <c r="F6" s="447"/>
      <c r="H6" s="280"/>
      <c r="I6" s="280"/>
      <c r="J6" s="280"/>
      <c r="K6" s="280"/>
      <c r="M6" s="281"/>
      <c r="N6" s="31"/>
      <c r="O6" s="31"/>
      <c r="P6" s="31"/>
      <c r="Q6" s="36"/>
      <c r="R6" s="36"/>
      <c r="S6" s="37"/>
      <c r="T6" s="37"/>
      <c r="U6" s="37"/>
      <c r="V6" s="37"/>
      <c r="W6" s="37"/>
      <c r="X6" s="37"/>
      <c r="Y6" s="10"/>
      <c r="Z6" s="10"/>
      <c r="AA6" s="10"/>
      <c r="AB6" s="10"/>
      <c r="AC6" s="10"/>
      <c r="AD6" s="10"/>
      <c r="AE6" s="11"/>
      <c r="AF6" s="9"/>
      <c r="AG6" s="9"/>
    </row>
    <row r="7" spans="1:33" ht="10.5" x14ac:dyDescent="0.25">
      <c r="A7" s="21" t="s">
        <v>328</v>
      </c>
      <c r="B7" s="86">
        <f>VLOOKUP($A$4,pohjatiedot!$B$3:$CC$296,2)</f>
        <v>5495408</v>
      </c>
      <c r="C7" s="137">
        <f>VLOOKUP($A$4,pohjatiedot!$B$3:$CC$296,40)</f>
        <v>5503664</v>
      </c>
      <c r="D7" s="137">
        <f>VLOOKUP($A$4,väestöennuste!$A$8:$J$303,4)</f>
        <v>5506386</v>
      </c>
      <c r="E7" s="369">
        <f>VLOOKUP($A$4,väestöennuste!$A$8:$J$303,5)</f>
        <v>5511772</v>
      </c>
      <c r="F7" s="369">
        <f>VLOOKUP($A$4,väestöennuste!$A$8:$J$303,6)</f>
        <v>5516715</v>
      </c>
      <c r="G7" s="397">
        <f>VLOOKUP($A$4,väestöennuste!$A$8:$J$303,7)</f>
        <v>5521162</v>
      </c>
      <c r="H7" s="369">
        <f>VLOOKUP($A$4,väestöennuste!$A$8:$J$303,8)</f>
        <v>5525035</v>
      </c>
      <c r="I7" s="369">
        <f>VLOOKUP($A$4,väestöennuste!$A$8:$J$303,9)</f>
        <v>5528282</v>
      </c>
      <c r="J7" s="369">
        <f>VLOOKUP($A$4,väestöennuste!$A$8:$J$303,10)</f>
        <v>5530869</v>
      </c>
      <c r="K7" s="369">
        <f>VLOOKUP($A$4,väestöennuste!$A$8:$M$303,11)</f>
        <v>5532706</v>
      </c>
      <c r="L7" s="369">
        <f>VLOOKUP($A$4,väestöennuste!$A$8:$M$303,12)</f>
        <v>5533828</v>
      </c>
      <c r="M7" s="370">
        <f>VLOOKUP($A$4,väestöennuste!$A$8:$M$303,13)</f>
        <v>5533828</v>
      </c>
      <c r="N7" s="306" t="s">
        <v>441</v>
      </c>
      <c r="O7" s="305"/>
      <c r="P7" s="56"/>
      <c r="Q7" s="38"/>
      <c r="R7" s="39"/>
      <c r="S7" s="37"/>
      <c r="T7" s="37"/>
      <c r="U7" s="37"/>
      <c r="V7" s="37"/>
      <c r="W7" s="37"/>
      <c r="X7" s="37"/>
      <c r="Y7" s="10"/>
      <c r="Z7" s="10"/>
      <c r="AA7" s="10"/>
      <c r="AB7" s="10"/>
      <c r="AC7" s="10"/>
      <c r="AD7" s="10"/>
      <c r="AE7" s="11"/>
      <c r="AF7" s="9"/>
      <c r="AG7" s="9"/>
    </row>
    <row r="8" spans="1:33" ht="10.5" x14ac:dyDescent="0.25">
      <c r="A8" s="282" t="s">
        <v>3</v>
      </c>
      <c r="B8" s="83">
        <f>VLOOKUP($A$4,pohjatiedot!$B$3:$CC$296,3)</f>
        <v>19.899999999999999</v>
      </c>
      <c r="C8" s="138">
        <f>VLOOKUP($A$4,pohjatiedot!$B$3:$CC$296,41)</f>
        <v>19.96</v>
      </c>
      <c r="D8" s="138">
        <f>VLOOKUP($A$4,pohjatiedot!$B$3:$CF$296,80)</f>
        <v>20.02</v>
      </c>
      <c r="E8" s="57">
        <f t="shared" ref="E8:M8" si="0">D8</f>
        <v>20.02</v>
      </c>
      <c r="F8" s="57">
        <f>E8-$F$2</f>
        <v>7.629999999999999</v>
      </c>
      <c r="G8" s="57">
        <f>F8</f>
        <v>7.629999999999999</v>
      </c>
      <c r="H8" s="57">
        <f t="shared" si="0"/>
        <v>7.629999999999999</v>
      </c>
      <c r="I8" s="57">
        <f t="shared" si="0"/>
        <v>7.629999999999999</v>
      </c>
      <c r="J8" s="57">
        <f t="shared" si="0"/>
        <v>7.629999999999999</v>
      </c>
      <c r="K8" s="57">
        <f t="shared" si="0"/>
        <v>7.629999999999999</v>
      </c>
      <c r="L8" s="57">
        <f t="shared" si="0"/>
        <v>7.629999999999999</v>
      </c>
      <c r="M8" s="58">
        <f t="shared" si="0"/>
        <v>7.629999999999999</v>
      </c>
      <c r="N8" s="40"/>
      <c r="O8" s="382"/>
      <c r="P8" s="41"/>
      <c r="Q8" s="38"/>
      <c r="R8" s="39"/>
      <c r="S8" s="37"/>
      <c r="T8" s="37"/>
      <c r="U8" s="37"/>
      <c r="V8" s="37"/>
      <c r="W8" s="37"/>
      <c r="X8" s="37"/>
      <c r="Y8" s="10"/>
      <c r="Z8" s="10"/>
      <c r="AA8" s="10"/>
      <c r="AB8" s="10"/>
      <c r="AC8" s="10"/>
      <c r="AD8" s="10"/>
      <c r="AE8" s="11"/>
      <c r="AF8" s="9"/>
      <c r="AG8" s="9"/>
    </row>
    <row r="9" spans="1:33" x14ac:dyDescent="0.2">
      <c r="A9" s="252" t="s">
        <v>29</v>
      </c>
      <c r="B9" s="163">
        <f t="shared" ref="B9" si="1">B15/B8</f>
        <v>961940.00000000012</v>
      </c>
      <c r="C9" s="163">
        <f>C15/C8</f>
        <v>1008219.6893787575</v>
      </c>
      <c r="D9" s="163">
        <f>D15/D8</f>
        <v>1025359.4240981963</v>
      </c>
      <c r="E9" s="113">
        <f t="shared" ref="E9:M9" si="2">E15/E8</f>
        <v>1063297.7227898294</v>
      </c>
      <c r="F9" s="113">
        <f>F15/F8</f>
        <v>1291740.8977649875</v>
      </c>
      <c r="G9" s="398">
        <f>G15/G8</f>
        <v>1225862.1119789733</v>
      </c>
      <c r="H9" s="113">
        <f t="shared" si="2"/>
        <v>1249153.4921065737</v>
      </c>
      <c r="I9" s="113">
        <f t="shared" si="2"/>
        <v>1272887.4084565984</v>
      </c>
      <c r="J9" s="113">
        <f t="shared" si="2"/>
        <v>1297072.2692172735</v>
      </c>
      <c r="K9" s="113">
        <f t="shared" si="2"/>
        <v>1321716.6423324014</v>
      </c>
      <c r="L9" s="113">
        <f t="shared" si="2"/>
        <v>1346829.2585367167</v>
      </c>
      <c r="M9" s="283">
        <f t="shared" si="2"/>
        <v>1372419.0144489142</v>
      </c>
      <c r="N9" s="41"/>
      <c r="O9" s="41"/>
      <c r="P9" s="41"/>
      <c r="Q9" s="38"/>
      <c r="R9" s="37"/>
      <c r="S9" s="37"/>
      <c r="T9" s="37"/>
      <c r="U9" s="37"/>
      <c r="V9" s="37"/>
      <c r="W9" s="37"/>
      <c r="X9" s="37"/>
      <c r="Y9" s="10"/>
      <c r="Z9" s="10"/>
      <c r="AA9" s="10"/>
      <c r="AB9" s="10"/>
      <c r="AC9" s="10"/>
      <c r="AD9" s="10"/>
      <c r="AE9" s="11"/>
      <c r="AF9" s="9"/>
      <c r="AG9" s="9"/>
    </row>
    <row r="10" spans="1:33" x14ac:dyDescent="0.2">
      <c r="A10" s="23" t="s">
        <v>371</v>
      </c>
      <c r="B10" s="150"/>
      <c r="C10" s="139"/>
      <c r="D10" s="164">
        <f>(D8-C8)*C9</f>
        <v>60493.181362724157</v>
      </c>
      <c r="E10" s="123">
        <f t="shared" ref="E10:M10" si="3">(E8-D8)*D9</f>
        <v>0</v>
      </c>
      <c r="F10" s="123">
        <f>(F8-E8)*E9</f>
        <v>-13174258.785365986</v>
      </c>
      <c r="G10" s="399">
        <f>(G8-F8)*F9</f>
        <v>0</v>
      </c>
      <c r="H10" s="123">
        <f t="shared" si="3"/>
        <v>0</v>
      </c>
      <c r="I10" s="123">
        <f t="shared" si="3"/>
        <v>0</v>
      </c>
      <c r="J10" s="123">
        <f t="shared" si="3"/>
        <v>0</v>
      </c>
      <c r="K10" s="123">
        <f t="shared" si="3"/>
        <v>0</v>
      </c>
      <c r="L10" s="123">
        <f t="shared" si="3"/>
        <v>0</v>
      </c>
      <c r="M10" s="124">
        <f t="shared" si="3"/>
        <v>0</v>
      </c>
      <c r="N10" s="16"/>
      <c r="O10" s="16"/>
      <c r="P10" s="16"/>
      <c r="Q10" s="42"/>
      <c r="R10" s="42"/>
      <c r="S10" s="42"/>
      <c r="T10" s="42"/>
      <c r="U10" s="42"/>
      <c r="V10" s="42"/>
      <c r="W10" s="42"/>
      <c r="X10" s="42"/>
      <c r="Y10" s="9"/>
      <c r="Z10" s="9"/>
      <c r="AA10" s="9"/>
      <c r="AB10" s="9"/>
      <c r="AC10" s="9"/>
      <c r="AD10" s="9"/>
      <c r="AE10" s="9"/>
      <c r="AF10" s="9"/>
      <c r="AG10" s="9"/>
    </row>
    <row r="11" spans="1:33" s="3" customFormat="1" ht="10.5" x14ac:dyDescent="0.25">
      <c r="A11" s="20" t="s">
        <v>433</v>
      </c>
      <c r="B11" s="65">
        <f>VLOOKUP($A$4,pohjatiedot!$B$3:$CC$296,6)</f>
        <v>7540856</v>
      </c>
      <c r="C11" s="90">
        <f>VLOOKUP($A$4,pohjatiedot!$B$3:$CC$296,44)</f>
        <v>7208017</v>
      </c>
      <c r="D11" s="463">
        <f>C11*(1+D69/100)</f>
        <v>8375715.7539999997</v>
      </c>
      <c r="E11" s="464">
        <f>D11*(1+E69/100)</f>
        <v>7680531.3464179998</v>
      </c>
      <c r="F11" s="464">
        <f>E11*(1+F69/100)</f>
        <v>5222761.3155642394</v>
      </c>
      <c r="G11" s="464">
        <f t="shared" ref="G11:M12" si="4">F11*(1+G69/100)</f>
        <v>5285434.4513510102</v>
      </c>
      <c r="H11" s="464">
        <f>G11*(1+H69/100)</f>
        <v>5338288.7958645206</v>
      </c>
      <c r="I11" s="464">
        <f t="shared" si="4"/>
        <v>5391671.6838231655</v>
      </c>
      <c r="J11" s="464">
        <f t="shared" si="4"/>
        <v>5445588.4006613968</v>
      </c>
      <c r="K11" s="464">
        <f t="shared" si="4"/>
        <v>5500044.2846680107</v>
      </c>
      <c r="L11" s="464">
        <f t="shared" si="4"/>
        <v>5555044.7275146907</v>
      </c>
      <c r="M11" s="464">
        <f t="shared" si="4"/>
        <v>5610595.1747898376</v>
      </c>
      <c r="N11" s="502"/>
      <c r="O11" s="505" t="s">
        <v>450</v>
      </c>
      <c r="P11" s="19"/>
      <c r="Q11" s="43"/>
      <c r="R11" s="387"/>
      <c r="S11" s="387"/>
      <c r="T11" s="387"/>
      <c r="U11" s="387"/>
      <c r="V11" s="387"/>
      <c r="W11" s="387"/>
      <c r="X11" s="393"/>
      <c r="Y11" s="389"/>
      <c r="Z11" s="389"/>
      <c r="AA11" s="6"/>
      <c r="AB11" s="6"/>
      <c r="AC11" s="6"/>
      <c r="AD11" s="6"/>
      <c r="AE11" s="6"/>
      <c r="AF11" s="6"/>
      <c r="AG11" s="6"/>
    </row>
    <row r="12" spans="1:33" s="3" customFormat="1" ht="10.5" x14ac:dyDescent="0.25">
      <c r="A12" s="21" t="s">
        <v>5</v>
      </c>
      <c r="B12" s="68">
        <f>VLOOKUP($A$4,pohjatiedot!$B$3:$CC$296,7)</f>
        <v>37903026</v>
      </c>
      <c r="C12" s="100">
        <f>VLOOKUP($A$4,pohjatiedot!$B$3:$CC$296,45)</f>
        <v>38429313</v>
      </c>
      <c r="D12" s="465">
        <f t="shared" ref="D12:F12" si="5">C12*(1+D70/100)</f>
        <v>40235490.710999995</v>
      </c>
      <c r="E12" s="466">
        <f t="shared" si="5"/>
        <v>41201142.488063999</v>
      </c>
      <c r="F12" s="466">
        <f t="shared" si="5"/>
        <v>18787720.97455718</v>
      </c>
      <c r="G12" s="466">
        <f t="shared" si="4"/>
        <v>19088324.510150094</v>
      </c>
      <c r="H12" s="466">
        <f t="shared" si="4"/>
        <v>19393737.702312496</v>
      </c>
      <c r="I12" s="466">
        <f t="shared" si="4"/>
        <v>19704037.505549494</v>
      </c>
      <c r="J12" s="466">
        <f t="shared" si="4"/>
        <v>20019302.105638288</v>
      </c>
      <c r="K12" s="466">
        <f t="shared" si="4"/>
        <v>20339610.939328499</v>
      </c>
      <c r="L12" s="466">
        <f t="shared" si="4"/>
        <v>20665044.714357756</v>
      </c>
      <c r="M12" s="466">
        <f t="shared" si="4"/>
        <v>20995685.429787479</v>
      </c>
      <c r="N12" s="502"/>
      <c r="O12" s="505" t="s">
        <v>448</v>
      </c>
      <c r="P12" s="19"/>
      <c r="Q12" s="43"/>
      <c r="R12" s="387"/>
      <c r="S12" s="387"/>
      <c r="T12" s="387"/>
      <c r="U12" s="387"/>
      <c r="V12" s="387"/>
      <c r="W12" s="387"/>
      <c r="X12" s="387"/>
      <c r="Y12" s="389"/>
      <c r="Z12" s="389"/>
      <c r="AA12" s="12"/>
      <c r="AB12" s="12"/>
      <c r="AC12" s="6"/>
      <c r="AD12" s="6"/>
      <c r="AE12" s="6"/>
      <c r="AF12" s="6"/>
      <c r="AG12" s="6"/>
    </row>
    <row r="13" spans="1:33" s="443" customFormat="1" ht="10.5" x14ac:dyDescent="0.25">
      <c r="A13" s="434" t="s">
        <v>401</v>
      </c>
      <c r="B13" s="435"/>
      <c r="C13" s="436"/>
      <c r="D13" s="437"/>
      <c r="E13" s="448"/>
      <c r="F13" s="448"/>
      <c r="G13" s="448"/>
      <c r="H13" s="448"/>
      <c r="I13" s="448"/>
      <c r="J13" s="448"/>
      <c r="K13" s="448"/>
      <c r="L13" s="448"/>
      <c r="M13" s="448"/>
      <c r="N13" s="503"/>
      <c r="O13" s="505" t="s">
        <v>449</v>
      </c>
      <c r="P13" s="438"/>
      <c r="Q13" s="439"/>
      <c r="R13" s="440"/>
      <c r="S13" s="440"/>
      <c r="T13" s="440"/>
      <c r="U13" s="440"/>
      <c r="V13" s="440"/>
      <c r="W13" s="440"/>
      <c r="X13" s="440"/>
      <c r="Y13" s="441"/>
      <c r="Z13" s="441"/>
      <c r="AA13" s="442"/>
      <c r="AB13" s="442"/>
    </row>
    <row r="14" spans="1:33" s="3" customFormat="1" ht="10.5" x14ac:dyDescent="0.25">
      <c r="A14" s="24" t="s">
        <v>15</v>
      </c>
      <c r="B14" s="71">
        <f>B11-B12</f>
        <v>-30362170</v>
      </c>
      <c r="C14" s="142">
        <f>C11-C12</f>
        <v>-31221296</v>
      </c>
      <c r="D14" s="142">
        <f>D11-D12</f>
        <v>-31859774.956999995</v>
      </c>
      <c r="E14" s="142">
        <f t="shared" ref="E14:M14" si="6">E11-E12</f>
        <v>-33520611.141645998</v>
      </c>
      <c r="F14" s="142">
        <f t="shared" si="6"/>
        <v>-13564959.658992941</v>
      </c>
      <c r="G14" s="142">
        <f t="shared" si="6"/>
        <v>-13802890.058799084</v>
      </c>
      <c r="H14" s="142">
        <f t="shared" si="6"/>
        <v>-14055448.906447975</v>
      </c>
      <c r="I14" s="142">
        <f t="shared" si="6"/>
        <v>-14312365.82172633</v>
      </c>
      <c r="J14" s="142">
        <f t="shared" si="6"/>
        <v>-14573713.70497689</v>
      </c>
      <c r="K14" s="142">
        <f t="shared" si="6"/>
        <v>-14839566.654660489</v>
      </c>
      <c r="L14" s="142">
        <f t="shared" si="6"/>
        <v>-15109999.986843064</v>
      </c>
      <c r="M14" s="142">
        <f t="shared" si="6"/>
        <v>-15385090.254997641</v>
      </c>
      <c r="N14" s="502"/>
      <c r="O14" s="506"/>
      <c r="P14" s="19"/>
      <c r="Q14" s="17"/>
      <c r="R14" s="390"/>
      <c r="S14" s="388"/>
      <c r="T14" s="388"/>
      <c r="U14" s="388"/>
      <c r="V14" s="388"/>
      <c r="W14" s="388"/>
      <c r="X14" s="388"/>
      <c r="Y14" s="388"/>
      <c r="Z14" s="390"/>
    </row>
    <row r="15" spans="1:33" ht="10.5" x14ac:dyDescent="0.25">
      <c r="A15" s="22" t="s">
        <v>13</v>
      </c>
      <c r="B15" s="74">
        <f>VLOOKUP($A$4,pohjatiedot!$B$3:$CC$296,9)</f>
        <v>19142606</v>
      </c>
      <c r="C15" s="140">
        <f>VLOOKUP($A$4,pohjatiedot!$B$3:$CC$296,47)</f>
        <v>20124065</v>
      </c>
      <c r="D15" s="467">
        <f>(C15+D10)*(1+D72/100)</f>
        <v>20527695.670445889</v>
      </c>
      <c r="E15" s="468">
        <f>(D15+E10)*(1+E72/100)</f>
        <v>21287220.410252385</v>
      </c>
      <c r="F15" s="468">
        <f>(E15)*(1+F72/100)</f>
        <v>9855983.0499468539</v>
      </c>
      <c r="G15" s="469">
        <f>F15*(1+G72/100)</f>
        <v>9353327.9143995643</v>
      </c>
      <c r="H15" s="468">
        <f>(G15+H10)*(1+H72/100)</f>
        <v>9531041.1447731555</v>
      </c>
      <c r="I15" s="468">
        <f t="shared" ref="I15:M15" si="7">(H15+I10)*(1+I72/100)</f>
        <v>9712130.9265238438</v>
      </c>
      <c r="J15" s="468">
        <f t="shared" si="7"/>
        <v>9896661.414127795</v>
      </c>
      <c r="K15" s="468">
        <f t="shared" si="7"/>
        <v>10084697.980996221</v>
      </c>
      <c r="L15" s="468">
        <f t="shared" si="7"/>
        <v>10276307.242635148</v>
      </c>
      <c r="M15" s="468">
        <f t="shared" si="7"/>
        <v>10471557.080245214</v>
      </c>
      <c r="N15" s="504"/>
      <c r="O15" s="506"/>
      <c r="P15" s="45"/>
      <c r="Q15" s="32"/>
      <c r="R15" s="391"/>
      <c r="S15" s="391"/>
      <c r="T15" s="391"/>
      <c r="U15" s="388"/>
      <c r="V15" s="391"/>
      <c r="W15" s="391"/>
      <c r="X15" s="391"/>
      <c r="Y15" s="392"/>
      <c r="Z15" s="392"/>
    </row>
    <row r="16" spans="1:33" x14ac:dyDescent="0.2">
      <c r="A16" s="23" t="s">
        <v>370</v>
      </c>
      <c r="B16" s="77">
        <f>VLOOKUP($A$4,pohjatiedot!$B$3:$CC$296,10)</f>
        <v>1902907</v>
      </c>
      <c r="C16" s="141">
        <f>VLOOKUP($A$4,pohjatiedot!$B$3:$CC$296,48)</f>
        <v>1956930</v>
      </c>
      <c r="D16" s="470">
        <f>C16*(1+D73/100)</f>
        <v>2473559.52</v>
      </c>
      <c r="E16" s="469">
        <f t="shared" ref="E16:M16" si="8">D16*(1+E73/100)</f>
        <v>2077789.9967999998</v>
      </c>
      <c r="F16" s="469">
        <f t="shared" si="8"/>
        <v>1493931.0076991997</v>
      </c>
      <c r="G16" s="469">
        <f t="shared" ref="D16:M17" si="9">F16*(1+G73/100)</f>
        <v>1384874.0441371582</v>
      </c>
      <c r="H16" s="469">
        <f t="shared" si="8"/>
        <v>1443038.7539909189</v>
      </c>
      <c r="I16" s="469">
        <f t="shared" si="8"/>
        <v>1503646.3816585375</v>
      </c>
      <c r="J16" s="469">
        <f t="shared" si="8"/>
        <v>1566799.5296881963</v>
      </c>
      <c r="K16" s="469">
        <f t="shared" si="8"/>
        <v>1632605.1099351007</v>
      </c>
      <c r="L16" s="469">
        <f t="shared" si="8"/>
        <v>1701174.5245523748</v>
      </c>
      <c r="M16" s="469">
        <f t="shared" si="8"/>
        <v>1772623.8545835747</v>
      </c>
      <c r="N16" s="504"/>
      <c r="O16" s="506"/>
      <c r="P16" s="45"/>
      <c r="Q16" s="32"/>
      <c r="R16" s="391"/>
      <c r="S16" s="391"/>
      <c r="T16" s="391"/>
      <c r="U16" s="391"/>
      <c r="V16" s="391"/>
      <c r="W16" s="391"/>
      <c r="X16" s="391"/>
      <c r="Y16" s="392"/>
      <c r="Z16" s="392"/>
    </row>
    <row r="17" spans="1:26" x14ac:dyDescent="0.2">
      <c r="A17" s="23" t="s">
        <v>2</v>
      </c>
      <c r="B17" s="77">
        <f>VLOOKUP($A$4,pohjatiedot!$B$3:$CC$296,11)</f>
        <v>1866802</v>
      </c>
      <c r="C17" s="141">
        <f>VLOOKUP($A$4,pohjatiedot!$B$3:$CC$296,49)</f>
        <v>1744593</v>
      </c>
      <c r="D17" s="470">
        <f t="shared" si="9"/>
        <v>2103979.1579999998</v>
      </c>
      <c r="E17" s="469">
        <f t="shared" si="9"/>
        <v>2030339.8874699997</v>
      </c>
      <c r="F17" s="469">
        <f t="shared" si="9"/>
        <v>2056734.3060071096</v>
      </c>
      <c r="G17" s="469">
        <f t="shared" si="9"/>
        <v>2083471.8519852017</v>
      </c>
      <c r="H17" s="469">
        <f t="shared" si="9"/>
        <v>2108473.5142090241</v>
      </c>
      <c r="I17" s="469">
        <f t="shared" si="9"/>
        <v>2133775.1963795326</v>
      </c>
      <c r="J17" s="469">
        <f t="shared" si="9"/>
        <v>2159380.4987360868</v>
      </c>
      <c r="K17" s="469">
        <f t="shared" si="9"/>
        <v>2185293.0647209198</v>
      </c>
      <c r="L17" s="469">
        <f t="shared" si="9"/>
        <v>2211516.581497571</v>
      </c>
      <c r="M17" s="469">
        <f t="shared" si="9"/>
        <v>2238054.7804755419</v>
      </c>
      <c r="N17" s="504"/>
      <c r="O17" s="506"/>
      <c r="P17" s="45"/>
      <c r="Q17" s="32"/>
      <c r="R17" s="32"/>
      <c r="S17" s="32"/>
      <c r="T17" s="32"/>
      <c r="U17" s="32"/>
      <c r="V17" s="32"/>
      <c r="W17" s="32"/>
      <c r="X17" s="32"/>
    </row>
    <row r="18" spans="1:26" s="3" customFormat="1" ht="10.5" x14ac:dyDescent="0.25">
      <c r="A18" s="24" t="s">
        <v>6</v>
      </c>
      <c r="B18" s="71">
        <f>VLOOKUP($A$4,pohjatiedot!$B$3:$CC$296,12)</f>
        <v>22912315</v>
      </c>
      <c r="C18" s="142">
        <f>VLOOKUP($A$4,pohjatiedot!$B$3:$CC$296,50)</f>
        <v>23825588</v>
      </c>
      <c r="D18" s="100">
        <f t="shared" ref="D18:M18" si="10">SUM(D15:D17)</f>
        <v>25105234.348445889</v>
      </c>
      <c r="E18" s="69">
        <f t="shared" si="10"/>
        <v>25395350.294522382</v>
      </c>
      <c r="F18" s="69">
        <f t="shared" si="10"/>
        <v>13406648.363653162</v>
      </c>
      <c r="G18" s="395">
        <f t="shared" si="10"/>
        <v>12821673.810521923</v>
      </c>
      <c r="H18" s="69">
        <f t="shared" si="10"/>
        <v>13082553.412973098</v>
      </c>
      <c r="I18" s="69">
        <f t="shared" si="10"/>
        <v>13349552.504561914</v>
      </c>
      <c r="J18" s="69">
        <f t="shared" si="10"/>
        <v>13622841.442552079</v>
      </c>
      <c r="K18" s="69">
        <f t="shared" si="10"/>
        <v>13902596.155652242</v>
      </c>
      <c r="L18" s="69">
        <f t="shared" si="10"/>
        <v>14188998.348685093</v>
      </c>
      <c r="M18" s="69">
        <f t="shared" si="10"/>
        <v>14482235.71530433</v>
      </c>
      <c r="N18" s="502"/>
      <c r="O18" s="505"/>
      <c r="P18" s="19"/>
      <c r="Q18" s="17"/>
      <c r="R18" s="17"/>
      <c r="S18" s="17"/>
      <c r="T18" s="17"/>
      <c r="U18" s="17"/>
      <c r="V18" s="17"/>
      <c r="W18" s="17"/>
      <c r="X18" s="17"/>
    </row>
    <row r="19" spans="1:26" s="3" customFormat="1" ht="10.5" x14ac:dyDescent="0.25">
      <c r="A19" s="20" t="s">
        <v>325</v>
      </c>
      <c r="B19" s="65">
        <f>VLOOKUP($A$4,pohjatiedot!$B$3:$CC$296,13)</f>
        <v>8640795</v>
      </c>
      <c r="C19" s="90">
        <f>VLOOKUP($A$4,pohjatiedot!$B$3:$CC$296,51)</f>
        <v>11005673</v>
      </c>
      <c r="D19" s="66">
        <f>VLOOKUP($A$4,pohjatiedot!$B$3:$CQ$296,88)</f>
        <v>9955078.6853361018</v>
      </c>
      <c r="E19" s="66">
        <f>VLOOKUP($A$4,pohjatiedot!$B$3:$CQ$296,89)</f>
        <v>10462300.440720018</v>
      </c>
      <c r="F19" s="66">
        <f>VLOOKUP($A$4,pohjatiedot!$B$3:$CQ$296,90)</f>
        <v>3035541.2915000003</v>
      </c>
      <c r="G19" s="66">
        <f>VLOOKUP($A$4,pohjatiedot!$B$3:$CQ$296,91)</f>
        <v>3099541.2914999956</v>
      </c>
      <c r="H19" s="66">
        <f>VLOOKUP($A$4,pohjatiedot!$B$3:$CQ$296,92)</f>
        <v>3157541.2914999998</v>
      </c>
      <c r="I19" s="66">
        <f>(H19)*(1+I75/100)</f>
        <v>3255425.0715364995</v>
      </c>
      <c r="J19" s="66">
        <f>(I19)*(1+J75/100)</f>
        <v>3356343.2487541307</v>
      </c>
      <c r="K19" s="66">
        <f>(J19)*(1+K75/100)</f>
        <v>3460389.8894655085</v>
      </c>
      <c r="L19" s="66">
        <f>(K19)*(1+L75/100)</f>
        <v>3567661.9760389389</v>
      </c>
      <c r="M19" s="66">
        <f>(L19)*(1+M75/100)</f>
        <v>3678259.4972961457</v>
      </c>
      <c r="N19" s="502"/>
      <c r="O19" s="505"/>
      <c r="P19" s="19"/>
      <c r="Q19" s="17"/>
      <c r="R19" s="17"/>
      <c r="S19" s="17"/>
      <c r="T19" s="17"/>
      <c r="U19" s="17"/>
      <c r="V19" s="17"/>
      <c r="W19" s="17"/>
      <c r="X19" s="17"/>
    </row>
    <row r="20" spans="1:26" s="3" customFormat="1" ht="15" customHeight="1" x14ac:dyDescent="0.25">
      <c r="A20" s="91"/>
      <c r="B20" s="157"/>
      <c r="C20" s="158"/>
      <c r="D20" s="496" t="s">
        <v>469</v>
      </c>
      <c r="E20" s="455"/>
      <c r="G20" s="401"/>
      <c r="H20" s="78"/>
      <c r="I20" s="500" t="s">
        <v>447</v>
      </c>
      <c r="J20" s="78"/>
      <c r="K20" s="78"/>
      <c r="L20" s="78"/>
      <c r="M20" s="78"/>
      <c r="N20" s="501"/>
      <c r="O20" s="505"/>
      <c r="P20" s="19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x14ac:dyDescent="0.2">
      <c r="A21" s="284" t="s">
        <v>8</v>
      </c>
      <c r="B21" s="77">
        <f>VLOOKUP($A$4,pohjatiedot!$B$3:$CC$296,14)</f>
        <v>232427</v>
      </c>
      <c r="C21" s="141">
        <f>VLOOKUP($A$4,pohjatiedot!$B$3:$CC$296,52)</f>
        <v>222749</v>
      </c>
      <c r="D21" s="165">
        <f>C21</f>
        <v>222749</v>
      </c>
      <c r="E21" s="102">
        <f t="shared" ref="E21:M21" si="11">D21</f>
        <v>222749</v>
      </c>
      <c r="F21" s="102">
        <f t="shared" si="11"/>
        <v>222749</v>
      </c>
      <c r="G21" s="102">
        <f t="shared" si="11"/>
        <v>222749</v>
      </c>
      <c r="H21" s="102">
        <f t="shared" si="11"/>
        <v>222749</v>
      </c>
      <c r="I21" s="102">
        <f t="shared" si="11"/>
        <v>222749</v>
      </c>
      <c r="J21" s="102">
        <f t="shared" si="11"/>
        <v>222749</v>
      </c>
      <c r="K21" s="102">
        <f t="shared" si="11"/>
        <v>222749</v>
      </c>
      <c r="L21" s="102">
        <f t="shared" si="11"/>
        <v>222749</v>
      </c>
      <c r="M21" s="103">
        <f t="shared" si="11"/>
        <v>222749</v>
      </c>
      <c r="N21" s="96"/>
      <c r="O21" s="25"/>
      <c r="P21" s="25"/>
      <c r="Q21" s="97"/>
      <c r="R21" s="97"/>
      <c r="S21" s="97"/>
      <c r="T21" s="97"/>
      <c r="U21" s="97"/>
      <c r="V21" s="97"/>
      <c r="W21" s="97"/>
      <c r="X21" s="97"/>
      <c r="Y21" s="97"/>
      <c r="Z21" s="97"/>
    </row>
    <row r="22" spans="1:26" x14ac:dyDescent="0.2">
      <c r="A22" s="284" t="s">
        <v>10</v>
      </c>
      <c r="B22" s="77">
        <f>VLOOKUP($A$4,pohjatiedot!$B$3:$CC$296,15)</f>
        <v>163632</v>
      </c>
      <c r="C22" s="141">
        <f>VLOOKUP($A$4,pohjatiedot!$B$3:$CC$296,53)</f>
        <v>164607</v>
      </c>
      <c r="D22" s="471">
        <f>($H$78/100)*C60</f>
        <v>380667.7</v>
      </c>
      <c r="E22" s="472">
        <f>($H$78/100)*D60</f>
        <v>385058.60296792409</v>
      </c>
      <c r="F22" s="472">
        <f t="shared" ref="F22:M22" si="12">($H$78/100)*E60</f>
        <v>405016.62859951245</v>
      </c>
      <c r="G22" s="472">
        <f t="shared" si="12"/>
        <v>415360.99612592574</v>
      </c>
      <c r="H22" s="472">
        <f t="shared" si="12"/>
        <v>439422.54682660731</v>
      </c>
      <c r="I22" s="472">
        <f t="shared" si="12"/>
        <v>462422.66246970149</v>
      </c>
      <c r="J22" s="472">
        <f>($H$78/100)*I60</f>
        <v>483605.89153458731</v>
      </c>
      <c r="K22" s="472">
        <f t="shared" si="12"/>
        <v>502874.16218409978</v>
      </c>
      <c r="L22" s="472">
        <f t="shared" si="12"/>
        <v>520125.33704788162</v>
      </c>
      <c r="M22" s="473">
        <f t="shared" si="12"/>
        <v>535253.05631978763</v>
      </c>
      <c r="N22" s="96"/>
      <c r="O22" s="25"/>
      <c r="P22" s="95"/>
      <c r="Q22" s="97"/>
      <c r="R22" s="97"/>
      <c r="S22" s="97"/>
      <c r="T22" s="97"/>
      <c r="U22" s="97"/>
      <c r="V22" s="97"/>
      <c r="W22" s="97"/>
      <c r="X22" s="97"/>
      <c r="Y22" s="97"/>
      <c r="Z22" s="97"/>
    </row>
    <row r="23" spans="1:26" x14ac:dyDescent="0.2">
      <c r="A23" s="284" t="s">
        <v>9</v>
      </c>
      <c r="B23" s="77">
        <f>VLOOKUP($A$4,pohjatiedot!$B$3:$CC$296,16)</f>
        <v>523755</v>
      </c>
      <c r="C23" s="141">
        <f>VLOOKUP($A$4,pohjatiedot!$B$3:$CC$296,54)</f>
        <v>470708</v>
      </c>
      <c r="D23" s="166">
        <f>C23</f>
        <v>470708</v>
      </c>
      <c r="E23" s="104">
        <f t="shared" ref="E23:M23" si="13">D23</f>
        <v>470708</v>
      </c>
      <c r="F23" s="104">
        <f t="shared" si="13"/>
        <v>470708</v>
      </c>
      <c r="G23" s="104">
        <f t="shared" si="13"/>
        <v>470708</v>
      </c>
      <c r="H23" s="104">
        <f t="shared" si="13"/>
        <v>470708</v>
      </c>
      <c r="I23" s="104">
        <f t="shared" si="13"/>
        <v>470708</v>
      </c>
      <c r="J23" s="104">
        <f t="shared" si="13"/>
        <v>470708</v>
      </c>
      <c r="K23" s="104">
        <f t="shared" si="13"/>
        <v>470708</v>
      </c>
      <c r="L23" s="104">
        <f t="shared" si="13"/>
        <v>470708</v>
      </c>
      <c r="M23" s="105">
        <f t="shared" si="13"/>
        <v>470708</v>
      </c>
      <c r="N23" s="25"/>
      <c r="O23" s="25"/>
      <c r="P23" s="25"/>
      <c r="Q23" s="32"/>
      <c r="R23" s="32"/>
      <c r="S23" s="32"/>
      <c r="T23" s="32"/>
      <c r="U23" s="32"/>
      <c r="V23" s="32"/>
      <c r="W23" s="32"/>
      <c r="X23" s="32"/>
    </row>
    <row r="24" spans="1:26" x14ac:dyDescent="0.2">
      <c r="A24" s="284" t="s">
        <v>11</v>
      </c>
      <c r="B24" s="152">
        <f>VLOOKUP($A$4,pohjatiedot!$B$3:$CC$296,17)</f>
        <v>41108</v>
      </c>
      <c r="C24" s="143">
        <f>VLOOKUP($A$4,pohjatiedot!$B$3:$CC$296,55)</f>
        <v>65845</v>
      </c>
      <c r="D24" s="167">
        <f>C24</f>
        <v>65845</v>
      </c>
      <c r="E24" s="106">
        <f t="shared" ref="E24:M24" si="14">D24</f>
        <v>65845</v>
      </c>
      <c r="F24" s="106">
        <f t="shared" si="14"/>
        <v>65845</v>
      </c>
      <c r="G24" s="106">
        <f t="shared" si="14"/>
        <v>65845</v>
      </c>
      <c r="H24" s="106">
        <f t="shared" si="14"/>
        <v>65845</v>
      </c>
      <c r="I24" s="106">
        <f t="shared" si="14"/>
        <v>65845</v>
      </c>
      <c r="J24" s="106">
        <f t="shared" si="14"/>
        <v>65845</v>
      </c>
      <c r="K24" s="106">
        <f t="shared" si="14"/>
        <v>65845</v>
      </c>
      <c r="L24" s="106">
        <f t="shared" si="14"/>
        <v>65845</v>
      </c>
      <c r="M24" s="107">
        <f t="shared" si="14"/>
        <v>65845</v>
      </c>
      <c r="N24" s="25"/>
      <c r="O24" s="25"/>
      <c r="P24" s="25"/>
      <c r="Q24" s="32"/>
      <c r="R24" s="32"/>
      <c r="S24" s="32"/>
      <c r="T24" s="32"/>
      <c r="U24" s="32"/>
      <c r="V24" s="32"/>
      <c r="W24" s="32"/>
      <c r="X24" s="32"/>
    </row>
    <row r="25" spans="1:26" s="422" customFormat="1" ht="10.5" x14ac:dyDescent="0.25">
      <c r="A25" s="416" t="s">
        <v>12</v>
      </c>
      <c r="B25" s="417">
        <f>VLOOKUP($A$4,pohjatiedot!$B$3:$CC$296,18)</f>
        <v>1747616</v>
      </c>
      <c r="C25" s="418">
        <f>VLOOKUP($A$4,pohjatiedot!$B$3:$CC$296,56)</f>
        <v>4072987</v>
      </c>
      <c r="D25" s="418">
        <f>D14+D18+D19+D21-D22+D23-D24</f>
        <v>3447482.3767819954</v>
      </c>
      <c r="E25" s="419">
        <f>E14+E18+E19+E21-E22+E23-E24</f>
        <v>2579592.9906284786</v>
      </c>
      <c r="F25" s="419">
        <f t="shared" ref="F25:M25" si="15">F14+F18+F19+F21-F22+F23-F24</f>
        <v>3099825.3675607098</v>
      </c>
      <c r="G25" s="419">
        <f t="shared" si="15"/>
        <v>2330576.0470969086</v>
      </c>
      <c r="H25" s="419">
        <f t="shared" si="15"/>
        <v>2372835.2511985162</v>
      </c>
      <c r="I25" s="419">
        <f t="shared" si="15"/>
        <v>2457801.0919023827</v>
      </c>
      <c r="J25" s="419">
        <f t="shared" si="15"/>
        <v>2549477.0947947316</v>
      </c>
      <c r="K25" s="419">
        <f t="shared" si="15"/>
        <v>2648157.2282731612</v>
      </c>
      <c r="L25" s="419">
        <f t="shared" si="15"/>
        <v>2754147.0008330862</v>
      </c>
      <c r="M25" s="420">
        <f t="shared" si="15"/>
        <v>2867763.9012830472</v>
      </c>
      <c r="N25" s="421"/>
      <c r="O25" s="421"/>
      <c r="P25" s="421"/>
    </row>
    <row r="26" spans="1:26" s="3" customFormat="1" ht="10.5" x14ac:dyDescent="0.25">
      <c r="A26" s="423" t="s">
        <v>373</v>
      </c>
      <c r="B26" s="424">
        <f>1000*B25/B7</f>
        <v>318.01387631273235</v>
      </c>
      <c r="C26" s="425">
        <f>1000*C25/C7</f>
        <v>740.05008299925282</v>
      </c>
      <c r="D26" s="425">
        <f>1000*D25/D7</f>
        <v>626.0880324739303</v>
      </c>
      <c r="E26" s="426">
        <f t="shared" ref="E26:M26" si="16">1000*E25/E7</f>
        <v>468.01518470438879</v>
      </c>
      <c r="F26" s="426">
        <f t="shared" si="16"/>
        <v>561.89695635187059</v>
      </c>
      <c r="G26" s="426">
        <f>1000*G25/G7</f>
        <v>422.11694695734496</v>
      </c>
      <c r="H26" s="426">
        <f t="shared" si="16"/>
        <v>429.46972303316022</v>
      </c>
      <c r="I26" s="426">
        <f t="shared" si="16"/>
        <v>444.58677974502439</v>
      </c>
      <c r="J26" s="426">
        <f t="shared" si="16"/>
        <v>460.95416376607938</v>
      </c>
      <c r="K26" s="426">
        <f t="shared" si="16"/>
        <v>478.63689635291689</v>
      </c>
      <c r="L26" s="426">
        <f t="shared" si="16"/>
        <v>497.69291724157057</v>
      </c>
      <c r="M26" s="427">
        <f t="shared" si="16"/>
        <v>518.22425656942119</v>
      </c>
      <c r="N26" s="19"/>
      <c r="O26" s="19"/>
      <c r="P26" s="19"/>
      <c r="Q26" s="17"/>
      <c r="R26" s="17"/>
      <c r="S26" s="17"/>
      <c r="T26" s="17"/>
      <c r="U26" s="17"/>
      <c r="V26" s="17"/>
      <c r="W26" s="17"/>
      <c r="X26" s="17"/>
    </row>
    <row r="27" spans="1:26" x14ac:dyDescent="0.2">
      <c r="A27" s="284" t="s">
        <v>16</v>
      </c>
      <c r="B27" s="74">
        <f>VLOOKUP($A$4,pohjatiedot!$B$3:$CC$296,20)</f>
        <v>2305725</v>
      </c>
      <c r="C27" s="140">
        <f>VLOOKUP($A$4,pohjatiedot!$B$3:$CC$296,58)</f>
        <v>2397525</v>
      </c>
      <c r="D27" s="303">
        <f>C27*$O$27</f>
        <v>2411910.15</v>
      </c>
      <c r="E27" s="297">
        <f t="shared" ref="E27:M27" si="17">D27*$O$27</f>
        <v>2426381.6108999997</v>
      </c>
      <c r="F27" s="297">
        <f t="shared" si="17"/>
        <v>2440939.9005653998</v>
      </c>
      <c r="G27" s="297">
        <f t="shared" si="17"/>
        <v>2455585.5399687923</v>
      </c>
      <c r="H27" s="297">
        <f t="shared" si="17"/>
        <v>2470319.0532086049</v>
      </c>
      <c r="I27" s="297">
        <f t="shared" si="17"/>
        <v>2485140.9675278566</v>
      </c>
      <c r="J27" s="297">
        <f t="shared" si="17"/>
        <v>2500051.8133330238</v>
      </c>
      <c r="K27" s="297">
        <f t="shared" si="17"/>
        <v>2515052.1242130222</v>
      </c>
      <c r="L27" s="297">
        <f t="shared" si="17"/>
        <v>2530142.4369583004</v>
      </c>
      <c r="M27" s="298">
        <f t="shared" si="17"/>
        <v>2545323.2915800503</v>
      </c>
      <c r="N27" s="25"/>
      <c r="O27" s="337">
        <v>1.006</v>
      </c>
      <c r="P27" s="93" t="s">
        <v>438</v>
      </c>
      <c r="Q27" s="32"/>
      <c r="R27" s="32"/>
      <c r="S27" s="32"/>
      <c r="T27" s="32"/>
      <c r="U27" s="32"/>
      <c r="V27" s="32"/>
      <c r="W27" s="32"/>
      <c r="X27" s="32"/>
    </row>
    <row r="28" spans="1:26" x14ac:dyDescent="0.2">
      <c r="A28" s="285" t="s">
        <v>18</v>
      </c>
      <c r="B28" s="77">
        <f>VLOOKUP($A$4,pohjatiedot!$B$3:$CC$296,21)</f>
        <v>403902</v>
      </c>
      <c r="C28" s="141">
        <f>VLOOKUP($A$4,pohjatiedot!$B$3:$CC$296,59)</f>
        <v>90574</v>
      </c>
      <c r="D28" s="304">
        <v>0</v>
      </c>
      <c r="E28" s="299">
        <v>0</v>
      </c>
      <c r="F28" s="299">
        <v>0</v>
      </c>
      <c r="G28" s="299">
        <v>0</v>
      </c>
      <c r="H28" s="299">
        <v>0</v>
      </c>
      <c r="I28" s="299">
        <v>0</v>
      </c>
      <c r="J28" s="299">
        <v>0</v>
      </c>
      <c r="K28" s="299">
        <v>0</v>
      </c>
      <c r="L28" s="299">
        <v>0</v>
      </c>
      <c r="M28" s="300">
        <v>0</v>
      </c>
      <c r="N28" s="25"/>
      <c r="O28" s="25"/>
      <c r="P28" s="25"/>
      <c r="Q28" s="32"/>
      <c r="R28" s="32"/>
      <c r="S28" s="32"/>
      <c r="T28" s="32"/>
      <c r="U28" s="32"/>
      <c r="V28" s="32"/>
      <c r="W28" s="32"/>
      <c r="X28" s="32"/>
    </row>
    <row r="29" spans="1:26" x14ac:dyDescent="0.2">
      <c r="A29" s="285" t="s">
        <v>19</v>
      </c>
      <c r="B29" s="77">
        <f>VLOOKUP($A$4,pohjatiedot!$B$3:$CC$296,22)</f>
        <v>9885</v>
      </c>
      <c r="C29" s="141">
        <f>VLOOKUP($A$4,pohjatiedot!$B$3:$CC$296,60)</f>
        <v>9330</v>
      </c>
      <c r="D29" s="304">
        <v>0</v>
      </c>
      <c r="E29" s="299">
        <v>0</v>
      </c>
      <c r="F29" s="299">
        <v>0</v>
      </c>
      <c r="G29" s="299">
        <v>0</v>
      </c>
      <c r="H29" s="299">
        <v>0</v>
      </c>
      <c r="I29" s="299">
        <v>0</v>
      </c>
      <c r="J29" s="299">
        <v>0</v>
      </c>
      <c r="K29" s="299">
        <v>0</v>
      </c>
      <c r="L29" s="299">
        <v>0</v>
      </c>
      <c r="M29" s="300">
        <v>0</v>
      </c>
      <c r="N29" s="25"/>
      <c r="O29" s="25"/>
      <c r="P29" s="25"/>
      <c r="Q29" s="32"/>
      <c r="R29" s="32"/>
      <c r="S29" s="32"/>
      <c r="T29" s="32"/>
      <c r="U29" s="32"/>
      <c r="V29" s="32"/>
      <c r="W29" s="32"/>
      <c r="X29" s="32"/>
    </row>
    <row r="30" spans="1:26" s="3" customFormat="1" ht="10.5" x14ac:dyDescent="0.25">
      <c r="A30" s="21" t="s">
        <v>366</v>
      </c>
      <c r="B30" s="68">
        <f>VLOOKUP($A$4,pohjatiedot!$B$3:$CC$296,23)</f>
        <v>-164092</v>
      </c>
      <c r="C30" s="100">
        <f>VLOOKUP($A$4,pohjatiedot!$B$3:$CC$296,61)</f>
        <v>1756706</v>
      </c>
      <c r="D30" s="100">
        <f>D25-D27+D28-D29</f>
        <v>1035572.2267819955</v>
      </c>
      <c r="E30" s="69">
        <f t="shared" ref="E30:M30" si="18">E25-E27+E28-E29</f>
        <v>153211.37972847885</v>
      </c>
      <c r="F30" s="69">
        <f t="shared" si="18"/>
        <v>658885.46699531004</v>
      </c>
      <c r="G30" s="395">
        <f t="shared" si="18"/>
        <v>-125009.49287188379</v>
      </c>
      <c r="H30" s="69">
        <f t="shared" si="18"/>
        <v>-97483.802010088693</v>
      </c>
      <c r="I30" s="69">
        <f t="shared" si="18"/>
        <v>-27339.875625473913</v>
      </c>
      <c r="J30" s="69">
        <f t="shared" si="18"/>
        <v>49425.281461707782</v>
      </c>
      <c r="K30" s="69">
        <f t="shared" si="18"/>
        <v>133105.10406013904</v>
      </c>
      <c r="L30" s="69">
        <f t="shared" si="18"/>
        <v>224004.56387478579</v>
      </c>
      <c r="M30" s="70">
        <f t="shared" si="18"/>
        <v>322440.60970299691</v>
      </c>
      <c r="N30" s="19"/>
      <c r="O30" s="19"/>
      <c r="P30" s="19"/>
      <c r="Q30" s="17"/>
      <c r="R30" s="17"/>
      <c r="S30" s="17"/>
      <c r="T30" s="17"/>
      <c r="U30" s="17"/>
      <c r="V30" s="17"/>
      <c r="W30" s="17"/>
      <c r="X30" s="17"/>
    </row>
    <row r="31" spans="1:26" x14ac:dyDescent="0.2">
      <c r="A31" s="285" t="s">
        <v>26</v>
      </c>
      <c r="B31" s="77">
        <f>VLOOKUP($A$4,pohjatiedot!$B$3:$CC$296,24)</f>
        <v>-4535</v>
      </c>
      <c r="C31" s="141">
        <f>VLOOKUP($A$4,pohjatiedot!$B$3:$CC$296,62)</f>
        <v>-25237</v>
      </c>
      <c r="D31" s="166">
        <f t="shared" ref="D31:M31" si="19">C31</f>
        <v>-25237</v>
      </c>
      <c r="E31" s="104">
        <f t="shared" si="19"/>
        <v>-25237</v>
      </c>
      <c r="F31" s="104">
        <f t="shared" si="19"/>
        <v>-25237</v>
      </c>
      <c r="G31" s="104">
        <f t="shared" si="19"/>
        <v>-25237</v>
      </c>
      <c r="H31" s="104">
        <f t="shared" si="19"/>
        <v>-25237</v>
      </c>
      <c r="I31" s="104">
        <f t="shared" si="19"/>
        <v>-25237</v>
      </c>
      <c r="J31" s="104">
        <f t="shared" si="19"/>
        <v>-25237</v>
      </c>
      <c r="K31" s="104">
        <f t="shared" si="19"/>
        <v>-25237</v>
      </c>
      <c r="L31" s="104">
        <f t="shared" si="19"/>
        <v>-25237</v>
      </c>
      <c r="M31" s="105">
        <f t="shared" si="19"/>
        <v>-25237</v>
      </c>
      <c r="N31" s="25"/>
      <c r="O31" s="25"/>
      <c r="P31" s="25"/>
      <c r="Q31" s="32"/>
      <c r="R31" s="32"/>
      <c r="S31" s="32"/>
      <c r="T31" s="32"/>
      <c r="U31" s="32"/>
      <c r="V31" s="32"/>
      <c r="W31" s="32"/>
      <c r="X31" s="32"/>
    </row>
    <row r="32" spans="1:26" x14ac:dyDescent="0.2">
      <c r="A32" s="285" t="s">
        <v>27</v>
      </c>
      <c r="B32" s="77">
        <f>VLOOKUP($A$4,pohjatiedot!$B$3:$CC$296,25)</f>
        <v>8374</v>
      </c>
      <c r="C32" s="141">
        <f>VLOOKUP($A$4,pohjatiedot!$B$3:$CC$296,63)</f>
        <v>-96451</v>
      </c>
      <c r="D32" s="166">
        <f t="shared" ref="D32:M32" si="20">C32</f>
        <v>-96451</v>
      </c>
      <c r="E32" s="104">
        <f t="shared" si="20"/>
        <v>-96451</v>
      </c>
      <c r="F32" s="104">
        <f t="shared" si="20"/>
        <v>-96451</v>
      </c>
      <c r="G32" s="104">
        <f t="shared" si="20"/>
        <v>-96451</v>
      </c>
      <c r="H32" s="104">
        <f t="shared" si="20"/>
        <v>-96451</v>
      </c>
      <c r="I32" s="104">
        <f t="shared" si="20"/>
        <v>-96451</v>
      </c>
      <c r="J32" s="104">
        <f t="shared" si="20"/>
        <v>-96451</v>
      </c>
      <c r="K32" s="104">
        <f t="shared" si="20"/>
        <v>-96451</v>
      </c>
      <c r="L32" s="104">
        <f t="shared" si="20"/>
        <v>-96451</v>
      </c>
      <c r="M32" s="105">
        <f t="shared" si="20"/>
        <v>-96451</v>
      </c>
      <c r="N32" s="25"/>
      <c r="O32" s="25"/>
      <c r="P32" s="25"/>
      <c r="Q32" s="32"/>
      <c r="R32" s="32"/>
      <c r="S32" s="32"/>
      <c r="T32" s="32"/>
      <c r="U32" s="32"/>
      <c r="V32" s="32"/>
      <c r="W32" s="32"/>
      <c r="X32" s="32"/>
    </row>
    <row r="33" spans="1:24" x14ac:dyDescent="0.2">
      <c r="A33" s="285" t="s">
        <v>28</v>
      </c>
      <c r="B33" s="77">
        <f>VLOOKUP($A$4,pohjatiedot!$B$3:$CC$296,26)</f>
        <v>28188</v>
      </c>
      <c r="C33" s="141">
        <f>VLOOKUP($A$4,pohjatiedot!$B$3:$CC$296,64)</f>
        <v>-61014</v>
      </c>
      <c r="D33" s="166">
        <f t="shared" ref="D33:M33" si="21">C33</f>
        <v>-61014</v>
      </c>
      <c r="E33" s="104">
        <f t="shared" si="21"/>
        <v>-61014</v>
      </c>
      <c r="F33" s="104">
        <f t="shared" si="21"/>
        <v>-61014</v>
      </c>
      <c r="G33" s="104">
        <f t="shared" si="21"/>
        <v>-61014</v>
      </c>
      <c r="H33" s="104">
        <f t="shared" si="21"/>
        <v>-61014</v>
      </c>
      <c r="I33" s="104">
        <f t="shared" si="21"/>
        <v>-61014</v>
      </c>
      <c r="J33" s="104">
        <f t="shared" si="21"/>
        <v>-61014</v>
      </c>
      <c r="K33" s="104">
        <f t="shared" si="21"/>
        <v>-61014</v>
      </c>
      <c r="L33" s="104">
        <f t="shared" si="21"/>
        <v>-61014</v>
      </c>
      <c r="M33" s="105">
        <f t="shared" si="21"/>
        <v>-61014</v>
      </c>
      <c r="N33" s="25"/>
      <c r="O33" s="25"/>
      <c r="P33" s="25"/>
      <c r="Q33" s="32"/>
      <c r="R33" s="32"/>
      <c r="S33" s="32"/>
      <c r="T33" s="32"/>
      <c r="U33" s="32"/>
      <c r="V33" s="32"/>
      <c r="W33" s="32"/>
      <c r="X33" s="32"/>
    </row>
    <row r="34" spans="1:24" s="3" customFormat="1" ht="10.5" x14ac:dyDescent="0.25">
      <c r="A34" s="24" t="s">
        <v>376</v>
      </c>
      <c r="B34" s="71">
        <f>VLOOKUP($A$4,pohjatiedot!$B$3:$CC$296,27)</f>
        <v>-132065</v>
      </c>
      <c r="C34" s="142">
        <f>VLOOKUP($A$4,pohjatiedot!$B$3:$CC$296,65)</f>
        <v>1574004</v>
      </c>
      <c r="D34" s="142">
        <f>D30+D31+D32+D33</f>
        <v>852870.2267819955</v>
      </c>
      <c r="E34" s="78">
        <f t="shared" ref="E34:M34" si="22">E30+E31+E32+E33</f>
        <v>-29490.620271521155</v>
      </c>
      <c r="F34" s="78">
        <f t="shared" si="22"/>
        <v>476183.46699531004</v>
      </c>
      <c r="G34" s="401">
        <f t="shared" si="22"/>
        <v>-307711.49287188379</v>
      </c>
      <c r="H34" s="78">
        <f t="shared" si="22"/>
        <v>-280185.80201008869</v>
      </c>
      <c r="I34" s="78">
        <f t="shared" si="22"/>
        <v>-210041.87562547391</v>
      </c>
      <c r="J34" s="78">
        <f t="shared" si="22"/>
        <v>-133276.71853829222</v>
      </c>
      <c r="K34" s="78">
        <f t="shared" si="22"/>
        <v>-49596.895939860959</v>
      </c>
      <c r="L34" s="78">
        <f t="shared" si="22"/>
        <v>41302.563874785788</v>
      </c>
      <c r="M34" s="79">
        <f t="shared" si="22"/>
        <v>139738.60970299691</v>
      </c>
      <c r="N34" s="19"/>
      <c r="O34" s="19"/>
      <c r="P34" s="19"/>
      <c r="Q34" s="17"/>
      <c r="R34" s="17"/>
      <c r="S34" s="17"/>
      <c r="T34" s="17"/>
      <c r="U34" s="17"/>
      <c r="V34" s="17"/>
      <c r="W34" s="17"/>
      <c r="X34" s="17"/>
    </row>
    <row r="35" spans="1:24" ht="14" x14ac:dyDescent="0.3">
      <c r="A35" s="109" t="s">
        <v>349</v>
      </c>
      <c r="B35" s="71"/>
      <c r="C35" s="142"/>
      <c r="D35" s="168"/>
      <c r="E35" s="64"/>
      <c r="F35" s="64"/>
      <c r="G35" s="403"/>
      <c r="H35" s="64"/>
      <c r="I35" s="64"/>
      <c r="J35" s="64"/>
      <c r="K35" s="64"/>
      <c r="L35" s="64"/>
      <c r="M35" s="64"/>
      <c r="N35" s="18"/>
      <c r="O35" s="18"/>
      <c r="P35" s="18"/>
      <c r="Q35" s="32"/>
      <c r="R35" s="32"/>
      <c r="S35" s="32"/>
      <c r="T35" s="32"/>
      <c r="U35" s="32"/>
      <c r="V35" s="32"/>
      <c r="W35" s="32"/>
      <c r="X35" s="32"/>
    </row>
    <row r="36" spans="1:24" s="3" customFormat="1" ht="10.5" x14ac:dyDescent="0.25">
      <c r="A36" s="20" t="s">
        <v>400</v>
      </c>
      <c r="B36" s="65">
        <f>VLOOKUP($A$4,pohjatiedot!$B$3:$CC$296,29)</f>
        <v>11087957</v>
      </c>
      <c r="C36" s="90">
        <f>VLOOKUP($A$4,pohjatiedot!$B$3:$CC$296,67)</f>
        <v>12581318</v>
      </c>
      <c r="D36" s="90">
        <f>C36+D34</f>
        <v>13434188.226781996</v>
      </c>
      <c r="E36" s="66">
        <f t="shared" ref="E36:M36" si="23">D36+E34</f>
        <v>13404697.606510475</v>
      </c>
      <c r="F36" s="66">
        <f t="shared" si="23"/>
        <v>13880881.073505785</v>
      </c>
      <c r="G36" s="400">
        <f t="shared" si="23"/>
        <v>13573169.580633901</v>
      </c>
      <c r="H36" s="66">
        <f t="shared" si="23"/>
        <v>13292983.778623812</v>
      </c>
      <c r="I36" s="66">
        <f t="shared" si="23"/>
        <v>13082941.902998338</v>
      </c>
      <c r="J36" s="66">
        <f t="shared" si="23"/>
        <v>12949665.184460046</v>
      </c>
      <c r="K36" s="66">
        <f t="shared" si="23"/>
        <v>12900068.288520185</v>
      </c>
      <c r="L36" s="66">
        <f t="shared" si="23"/>
        <v>12941370.852394972</v>
      </c>
      <c r="M36" s="67">
        <f t="shared" si="23"/>
        <v>13081109.462097969</v>
      </c>
      <c r="N36" s="19"/>
      <c r="O36" s="19"/>
      <c r="P36" s="19"/>
      <c r="Q36" s="17"/>
      <c r="R36" s="17"/>
      <c r="S36" s="17"/>
      <c r="T36" s="17"/>
      <c r="U36" s="17"/>
      <c r="V36" s="17"/>
      <c r="W36" s="17"/>
      <c r="X36" s="17"/>
    </row>
    <row r="37" spans="1:24" x14ac:dyDescent="0.2">
      <c r="A37" s="26" t="s">
        <v>372</v>
      </c>
      <c r="B37" s="80">
        <f>1000*B36/B7</f>
        <v>2017.676758486358</v>
      </c>
      <c r="C37" s="92">
        <f t="shared" ref="C37:M37" si="24">1000*C36/C7</f>
        <v>2285.9894790088929</v>
      </c>
      <c r="D37" s="92">
        <f t="shared" si="24"/>
        <v>2439.7469096394616</v>
      </c>
      <c r="E37" s="81">
        <f t="shared" si="24"/>
        <v>2432.0123558286655</v>
      </c>
      <c r="F37" s="81">
        <f t="shared" si="24"/>
        <v>2516.1497509851033</v>
      </c>
      <c r="G37" s="402">
        <f t="shared" si="24"/>
        <v>2458.3900238091005</v>
      </c>
      <c r="H37" s="81">
        <f t="shared" si="24"/>
        <v>2405.9546733412208</v>
      </c>
      <c r="I37" s="81">
        <f t="shared" si="24"/>
        <v>2366.5474921500636</v>
      </c>
      <c r="J37" s="81">
        <f t="shared" si="24"/>
        <v>2341.3436811575261</v>
      </c>
      <c r="K37" s="81">
        <f t="shared" si="24"/>
        <v>2331.601984367177</v>
      </c>
      <c r="L37" s="81">
        <f t="shared" si="24"/>
        <v>2338.5928967063978</v>
      </c>
      <c r="M37" s="82">
        <f t="shared" si="24"/>
        <v>2363.8446048735104</v>
      </c>
      <c r="N37" s="25"/>
      <c r="O37" s="25"/>
      <c r="P37" s="25"/>
      <c r="Q37" s="32"/>
      <c r="R37" s="32"/>
      <c r="S37" s="32"/>
      <c r="T37" s="32"/>
      <c r="U37" s="32"/>
      <c r="V37" s="32"/>
      <c r="W37" s="32"/>
      <c r="X37" s="32"/>
    </row>
    <row r="38" spans="1:24" x14ac:dyDescent="0.2">
      <c r="A38" s="53"/>
      <c r="B38" s="51"/>
      <c r="C38" s="51"/>
      <c r="D38" s="255"/>
      <c r="E38" s="148"/>
      <c r="F38" s="148"/>
      <c r="G38" s="404"/>
      <c r="H38" s="148"/>
      <c r="I38" s="148"/>
      <c r="J38" s="148"/>
      <c r="K38" s="148"/>
      <c r="L38" s="148"/>
      <c r="M38" s="148"/>
      <c r="N38" s="25"/>
      <c r="O38" s="25"/>
      <c r="P38" s="25"/>
      <c r="Q38" s="32"/>
      <c r="R38" s="32"/>
      <c r="S38" s="32"/>
      <c r="T38" s="32"/>
      <c r="U38" s="32"/>
      <c r="V38" s="32"/>
      <c r="W38" s="32"/>
      <c r="X38" s="32"/>
    </row>
    <row r="39" spans="1:24" ht="15.5" x14ac:dyDescent="0.35">
      <c r="A39" s="54" t="s">
        <v>388</v>
      </c>
      <c r="B39" s="154"/>
      <c r="C39" s="52"/>
      <c r="D39" s="224"/>
      <c r="E39" s="52"/>
      <c r="F39" s="52"/>
      <c r="G39" s="405"/>
      <c r="H39" s="52"/>
      <c r="I39" s="52"/>
      <c r="J39" s="52"/>
      <c r="K39" s="52"/>
      <c r="L39" s="52"/>
      <c r="M39" s="52"/>
      <c r="N39" s="25"/>
      <c r="O39" s="25"/>
      <c r="P39" s="25"/>
      <c r="Q39" s="32"/>
      <c r="R39" s="32"/>
      <c r="S39" s="32"/>
      <c r="T39" s="32"/>
      <c r="U39" s="32"/>
      <c r="V39" s="32"/>
      <c r="W39" s="32"/>
      <c r="X39" s="32"/>
    </row>
    <row r="40" spans="1:24" x14ac:dyDescent="0.2">
      <c r="A40" s="270" t="s">
        <v>33</v>
      </c>
      <c r="B40" s="232">
        <f>B25</f>
        <v>1747616</v>
      </c>
      <c r="C40" s="278">
        <f>C25</f>
        <v>4072987</v>
      </c>
      <c r="D40" s="236">
        <f>D25</f>
        <v>3447482.3767819954</v>
      </c>
      <c r="E40" s="236">
        <f t="shared" ref="E40:M40" si="25">E25</f>
        <v>2579592.9906284786</v>
      </c>
      <c r="F40" s="236">
        <f t="shared" si="25"/>
        <v>3099825.3675607098</v>
      </c>
      <c r="G40" s="406">
        <f t="shared" si="25"/>
        <v>2330576.0470969086</v>
      </c>
      <c r="H40" s="236">
        <f t="shared" si="25"/>
        <v>2372835.2511985162</v>
      </c>
      <c r="I40" s="236">
        <f t="shared" si="25"/>
        <v>2457801.0919023827</v>
      </c>
      <c r="J40" s="236">
        <f t="shared" si="25"/>
        <v>2549477.0947947316</v>
      </c>
      <c r="K40" s="236">
        <f t="shared" si="25"/>
        <v>2648157.2282731612</v>
      </c>
      <c r="L40" s="236">
        <f t="shared" si="25"/>
        <v>2754147.0008330862</v>
      </c>
      <c r="M40" s="271">
        <f t="shared" si="25"/>
        <v>2867763.9012830472</v>
      </c>
      <c r="N40" s="25"/>
      <c r="O40" s="25"/>
      <c r="P40" s="25"/>
      <c r="Q40" s="32"/>
      <c r="R40" s="32"/>
      <c r="S40" s="32"/>
      <c r="T40" s="32"/>
      <c r="U40" s="32"/>
      <c r="V40" s="32"/>
      <c r="W40" s="32"/>
      <c r="X40" s="32"/>
    </row>
    <row r="41" spans="1:24" x14ac:dyDescent="0.2">
      <c r="A41" s="272" t="s">
        <v>377</v>
      </c>
      <c r="B41" s="274"/>
      <c r="C41" s="77">
        <f>VLOOKUP($A$4,pohjatiedot!$B$3:$CT$296,95)</f>
        <v>-449939</v>
      </c>
      <c r="D41" s="104">
        <f>C41</f>
        <v>-449939</v>
      </c>
      <c r="E41" s="104">
        <f>D41</f>
        <v>-449939</v>
      </c>
      <c r="F41" s="104">
        <f t="shared" ref="F41:M41" si="26">E41</f>
        <v>-449939</v>
      </c>
      <c r="G41" s="104">
        <f t="shared" si="26"/>
        <v>-449939</v>
      </c>
      <c r="H41" s="104">
        <f t="shared" si="26"/>
        <v>-449939</v>
      </c>
      <c r="I41" s="104">
        <f t="shared" si="26"/>
        <v>-449939</v>
      </c>
      <c r="J41" s="104">
        <f t="shared" si="26"/>
        <v>-449939</v>
      </c>
      <c r="K41" s="104">
        <f t="shared" si="26"/>
        <v>-449939</v>
      </c>
      <c r="L41" s="104">
        <f t="shared" si="26"/>
        <v>-449939</v>
      </c>
      <c r="M41" s="105">
        <f t="shared" si="26"/>
        <v>-449939</v>
      </c>
      <c r="N41" s="25"/>
      <c r="O41" s="25"/>
      <c r="P41" s="25"/>
      <c r="Q41" s="32"/>
      <c r="R41" s="32"/>
      <c r="S41" s="32"/>
      <c r="T41" s="32"/>
      <c r="U41" s="32"/>
      <c r="V41" s="32"/>
      <c r="W41" s="32"/>
      <c r="X41" s="32"/>
    </row>
    <row r="42" spans="1:24" x14ac:dyDescent="0.2">
      <c r="A42" s="273" t="s">
        <v>379</v>
      </c>
      <c r="B42" s="275">
        <f>B28-B29</f>
        <v>394017</v>
      </c>
      <c r="C42" s="275">
        <f>C28-C29</f>
        <v>81244</v>
      </c>
      <c r="D42" s="476">
        <f>D28-D29</f>
        <v>0</v>
      </c>
      <c r="E42" s="476">
        <f t="shared" ref="E42:M42" si="27">E28-E29</f>
        <v>0</v>
      </c>
      <c r="F42" s="476">
        <f t="shared" si="27"/>
        <v>0</v>
      </c>
      <c r="G42" s="476">
        <f t="shared" si="27"/>
        <v>0</v>
      </c>
      <c r="H42" s="476">
        <f t="shared" si="27"/>
        <v>0</v>
      </c>
      <c r="I42" s="476">
        <f t="shared" si="27"/>
        <v>0</v>
      </c>
      <c r="J42" s="476">
        <f t="shared" si="27"/>
        <v>0</v>
      </c>
      <c r="K42" s="476">
        <f t="shared" si="27"/>
        <v>0</v>
      </c>
      <c r="L42" s="476">
        <f t="shared" si="27"/>
        <v>0</v>
      </c>
      <c r="M42" s="477">
        <f t="shared" si="27"/>
        <v>0</v>
      </c>
      <c r="N42" s="25"/>
      <c r="O42" s="25"/>
      <c r="P42" s="25"/>
      <c r="Q42" s="32"/>
      <c r="R42" s="32"/>
      <c r="S42" s="32"/>
      <c r="T42" s="32"/>
      <c r="U42" s="32"/>
      <c r="V42" s="32"/>
      <c r="W42" s="32"/>
      <c r="X42" s="32"/>
    </row>
    <row r="43" spans="1:24" ht="10.5" x14ac:dyDescent="0.25">
      <c r="A43" s="20" t="s">
        <v>380</v>
      </c>
      <c r="B43" s="233"/>
      <c r="C43" s="65">
        <f>SUM(C40:C42)</f>
        <v>3704292</v>
      </c>
      <c r="D43" s="234">
        <f>SUM(D40:D42)</f>
        <v>2997543.3767819954</v>
      </c>
      <c r="E43" s="234">
        <f t="shared" ref="E43:M43" si="28">SUM(E40:E42)</f>
        <v>2129653.9906284786</v>
      </c>
      <c r="F43" s="234">
        <f t="shared" si="28"/>
        <v>2649886.3675607098</v>
      </c>
      <c r="G43" s="407">
        <f t="shared" si="28"/>
        <v>1880637.0470969086</v>
      </c>
      <c r="H43" s="234">
        <f t="shared" si="28"/>
        <v>1922896.2511985162</v>
      </c>
      <c r="I43" s="234">
        <f t="shared" si="28"/>
        <v>2007862.0919023827</v>
      </c>
      <c r="J43" s="234">
        <f t="shared" si="28"/>
        <v>2099538.0947947316</v>
      </c>
      <c r="K43" s="234">
        <f t="shared" si="28"/>
        <v>2198218.2282731612</v>
      </c>
      <c r="L43" s="234">
        <f t="shared" si="28"/>
        <v>2304208.0008330862</v>
      </c>
      <c r="M43" s="235">
        <f t="shared" si="28"/>
        <v>2417824.9012830472</v>
      </c>
      <c r="N43" s="25"/>
      <c r="O43" s="25"/>
      <c r="P43" s="25"/>
      <c r="Q43" s="32"/>
      <c r="R43" s="32"/>
      <c r="S43" s="32"/>
      <c r="T43" s="32"/>
      <c r="U43" s="32"/>
      <c r="V43" s="32"/>
      <c r="W43" s="32"/>
      <c r="X43" s="32"/>
    </row>
    <row r="44" spans="1:24" ht="10.5" x14ac:dyDescent="0.25">
      <c r="A44" s="268" t="s">
        <v>381</v>
      </c>
      <c r="B44" s="233"/>
      <c r="C44" s="74">
        <f>VLOOKUP($A$4,pohjatiedot!$B$3:$CU$296,96)</f>
        <v>-4312042</v>
      </c>
      <c r="D44" s="297">
        <f>C44</f>
        <v>-4312042</v>
      </c>
      <c r="E44" s="297">
        <f t="shared" ref="E44:M44" si="29">D44</f>
        <v>-4312042</v>
      </c>
      <c r="F44" s="297">
        <f t="shared" si="29"/>
        <v>-4312042</v>
      </c>
      <c r="G44" s="297">
        <f t="shared" si="29"/>
        <v>-4312042</v>
      </c>
      <c r="H44" s="297">
        <f t="shared" si="29"/>
        <v>-4312042</v>
      </c>
      <c r="I44" s="297">
        <f t="shared" si="29"/>
        <v>-4312042</v>
      </c>
      <c r="J44" s="297">
        <f t="shared" si="29"/>
        <v>-4312042</v>
      </c>
      <c r="K44" s="297">
        <f t="shared" si="29"/>
        <v>-4312042</v>
      </c>
      <c r="L44" s="297">
        <f t="shared" si="29"/>
        <v>-4312042</v>
      </c>
      <c r="M44" s="298">
        <f t="shared" si="29"/>
        <v>-4312042</v>
      </c>
      <c r="N44" s="25"/>
      <c r="O44" s="25"/>
      <c r="P44" s="25"/>
      <c r="Q44" s="32"/>
      <c r="R44" s="32"/>
      <c r="S44" s="32"/>
      <c r="T44" s="32"/>
      <c r="U44" s="32"/>
      <c r="V44" s="32"/>
      <c r="W44" s="32"/>
      <c r="X44" s="32"/>
    </row>
    <row r="45" spans="1:24" ht="10.5" x14ac:dyDescent="0.25">
      <c r="A45" s="216" t="s">
        <v>382</v>
      </c>
      <c r="B45" s="276"/>
      <c r="C45" s="77">
        <f>VLOOKUP($A$4,pohjatiedot!$B$3:$CU$296,97)</f>
        <v>185133</v>
      </c>
      <c r="D45" s="299">
        <f>C45</f>
        <v>185133</v>
      </c>
      <c r="E45" s="299">
        <f t="shared" ref="E45:M45" si="30">D45</f>
        <v>185133</v>
      </c>
      <c r="F45" s="299">
        <f t="shared" si="30"/>
        <v>185133</v>
      </c>
      <c r="G45" s="299">
        <f t="shared" si="30"/>
        <v>185133</v>
      </c>
      <c r="H45" s="299">
        <f t="shared" si="30"/>
        <v>185133</v>
      </c>
      <c r="I45" s="299">
        <f t="shared" si="30"/>
        <v>185133</v>
      </c>
      <c r="J45" s="299">
        <f t="shared" si="30"/>
        <v>185133</v>
      </c>
      <c r="K45" s="299">
        <f t="shared" si="30"/>
        <v>185133</v>
      </c>
      <c r="L45" s="299">
        <f t="shared" si="30"/>
        <v>185133</v>
      </c>
      <c r="M45" s="300">
        <f t="shared" si="30"/>
        <v>185133</v>
      </c>
      <c r="N45" s="25"/>
      <c r="O45" s="25"/>
      <c r="P45" s="25"/>
      <c r="Q45" s="32"/>
      <c r="R45" s="32"/>
      <c r="S45" s="32"/>
      <c r="T45" s="32"/>
      <c r="U45" s="32"/>
      <c r="V45" s="32"/>
      <c r="W45" s="32"/>
      <c r="X45" s="32"/>
    </row>
    <row r="46" spans="1:24" ht="10.5" x14ac:dyDescent="0.25">
      <c r="A46" s="269" t="s">
        <v>383</v>
      </c>
      <c r="B46" s="277"/>
      <c r="C46" s="152">
        <f>VLOOKUP($A$4,pohjatiedot!$B$3:$CU$296,98)</f>
        <v>806207</v>
      </c>
      <c r="D46" s="301">
        <f>C46</f>
        <v>806207</v>
      </c>
      <c r="E46" s="301">
        <f t="shared" ref="E46:M46" si="31">D46</f>
        <v>806207</v>
      </c>
      <c r="F46" s="301">
        <f t="shared" si="31"/>
        <v>806207</v>
      </c>
      <c r="G46" s="301">
        <f t="shared" si="31"/>
        <v>806207</v>
      </c>
      <c r="H46" s="301">
        <f t="shared" si="31"/>
        <v>806207</v>
      </c>
      <c r="I46" s="301">
        <f t="shared" si="31"/>
        <v>806207</v>
      </c>
      <c r="J46" s="301">
        <f t="shared" si="31"/>
        <v>806207</v>
      </c>
      <c r="K46" s="301">
        <f t="shared" si="31"/>
        <v>806207</v>
      </c>
      <c r="L46" s="301">
        <f t="shared" si="31"/>
        <v>806207</v>
      </c>
      <c r="M46" s="302">
        <f t="shared" si="31"/>
        <v>806207</v>
      </c>
      <c r="N46" s="25"/>
      <c r="O46" s="25"/>
      <c r="P46" s="25"/>
      <c r="Q46" s="32"/>
      <c r="R46" s="32"/>
      <c r="S46" s="32"/>
      <c r="T46" s="32"/>
      <c r="U46" s="32"/>
      <c r="V46" s="32"/>
      <c r="W46" s="32"/>
      <c r="X46" s="32"/>
    </row>
    <row r="47" spans="1:24" s="3" customFormat="1" ht="10.5" x14ac:dyDescent="0.25">
      <c r="A47" s="20" t="s">
        <v>384</v>
      </c>
      <c r="B47" s="65">
        <f>VLOOKUP($A$4,pohjatiedot!$B$3:$CC$296,32)</f>
        <v>-2733060</v>
      </c>
      <c r="C47" s="65">
        <f>C46+C45+C44</f>
        <v>-3320702</v>
      </c>
      <c r="D47" s="65">
        <f t="shared" ref="D47:M47" si="32">D46+D45+D44</f>
        <v>-3320702</v>
      </c>
      <c r="E47" s="65">
        <f t="shared" si="32"/>
        <v>-3320702</v>
      </c>
      <c r="F47" s="65">
        <f t="shared" si="32"/>
        <v>-3320702</v>
      </c>
      <c r="G47" s="65">
        <f t="shared" si="32"/>
        <v>-3320702</v>
      </c>
      <c r="H47" s="65">
        <f t="shared" si="32"/>
        <v>-3320702</v>
      </c>
      <c r="I47" s="65">
        <f t="shared" si="32"/>
        <v>-3320702</v>
      </c>
      <c r="J47" s="65">
        <f t="shared" si="32"/>
        <v>-3320702</v>
      </c>
      <c r="K47" s="65">
        <f t="shared" si="32"/>
        <v>-3320702</v>
      </c>
      <c r="L47" s="65">
        <f t="shared" si="32"/>
        <v>-3320702</v>
      </c>
      <c r="M47" s="65">
        <f t="shared" si="32"/>
        <v>-3320702</v>
      </c>
      <c r="N47" s="19"/>
      <c r="O47" s="19"/>
      <c r="P47" s="19"/>
      <c r="Q47" s="17"/>
      <c r="R47" s="17"/>
      <c r="S47" s="17"/>
      <c r="T47" s="17"/>
      <c r="U47" s="17"/>
      <c r="V47" s="17"/>
      <c r="W47" s="17"/>
      <c r="X47" s="17"/>
    </row>
    <row r="48" spans="1:24" s="3" customFormat="1" ht="10.5" x14ac:dyDescent="0.25">
      <c r="A48" s="26" t="s">
        <v>372</v>
      </c>
      <c r="B48" s="80">
        <f t="shared" ref="B48:M48" si="33">1000*B47/B7</f>
        <v>-497.33522970450963</v>
      </c>
      <c r="C48" s="80">
        <f t="shared" si="33"/>
        <v>-603.36205117172847</v>
      </c>
      <c r="D48" s="81">
        <f t="shared" si="33"/>
        <v>-603.06378811801426</v>
      </c>
      <c r="E48" s="81">
        <f t="shared" si="33"/>
        <v>-602.47448551935747</v>
      </c>
      <c r="F48" s="81">
        <f t="shared" si="33"/>
        <v>-601.93466582921178</v>
      </c>
      <c r="G48" s="402">
        <f t="shared" si="33"/>
        <v>-601.4498397257679</v>
      </c>
      <c r="H48" s="81">
        <f t="shared" si="33"/>
        <v>-601.02822878045117</v>
      </c>
      <c r="I48" s="81">
        <f t="shared" si="33"/>
        <v>-600.67521881119671</v>
      </c>
      <c r="J48" s="81">
        <f t="shared" si="33"/>
        <v>-600.3942599255198</v>
      </c>
      <c r="K48" s="81">
        <f t="shared" si="33"/>
        <v>-600.19491366430816</v>
      </c>
      <c r="L48" s="81">
        <f t="shared" si="33"/>
        <v>-600.07322236975926</v>
      </c>
      <c r="M48" s="82">
        <f t="shared" si="33"/>
        <v>-600.07322236975926</v>
      </c>
      <c r="N48" s="19"/>
      <c r="O48" s="19"/>
      <c r="P48" s="19"/>
      <c r="Q48" s="17"/>
      <c r="R48" s="17"/>
      <c r="S48" s="17"/>
      <c r="T48" s="17"/>
      <c r="U48" s="17"/>
      <c r="V48" s="17"/>
      <c r="W48" s="17"/>
      <c r="X48" s="17"/>
    </row>
    <row r="49" spans="1:24" s="5" customFormat="1" hidden="1" x14ac:dyDescent="0.2">
      <c r="A49" s="249" t="s">
        <v>34</v>
      </c>
      <c r="B49" s="74">
        <f t="shared" ref="B49:M49" si="34">B25+B47</f>
        <v>-985444</v>
      </c>
      <c r="C49" s="74">
        <f t="shared" si="34"/>
        <v>752285</v>
      </c>
      <c r="D49" s="75">
        <f t="shared" si="34"/>
        <v>126780.37678199541</v>
      </c>
      <c r="E49" s="75">
        <f t="shared" si="34"/>
        <v>-741109.00937152142</v>
      </c>
      <c r="F49" s="75">
        <f t="shared" si="34"/>
        <v>-220876.63243929017</v>
      </c>
      <c r="G49" s="408">
        <f t="shared" si="34"/>
        <v>-990125.95290309144</v>
      </c>
      <c r="H49" s="75">
        <f t="shared" si="34"/>
        <v>-947866.74880148377</v>
      </c>
      <c r="I49" s="75">
        <f t="shared" si="34"/>
        <v>-862900.90809761733</v>
      </c>
      <c r="J49" s="75">
        <f t="shared" si="34"/>
        <v>-771224.90520526841</v>
      </c>
      <c r="K49" s="75">
        <f t="shared" si="34"/>
        <v>-672544.77172683878</v>
      </c>
      <c r="L49" s="75">
        <f t="shared" si="34"/>
        <v>-566554.9991669138</v>
      </c>
      <c r="M49" s="76">
        <f t="shared" si="34"/>
        <v>-452938.09871695284</v>
      </c>
      <c r="O49" s="250"/>
      <c r="P49" s="134"/>
      <c r="Q49" s="45"/>
      <c r="R49" s="134"/>
      <c r="S49" s="134"/>
      <c r="T49" s="134"/>
      <c r="U49" s="134"/>
      <c r="V49" s="134"/>
      <c r="W49" s="134"/>
      <c r="X49" s="134"/>
    </row>
    <row r="50" spans="1:24" hidden="1" x14ac:dyDescent="0.2">
      <c r="A50" s="251" t="s">
        <v>372</v>
      </c>
      <c r="B50" s="221">
        <f t="shared" ref="B50:M50" si="35">1000*B49/B7</f>
        <v>-179.32135339177728</v>
      </c>
      <c r="C50" s="221">
        <f t="shared" si="35"/>
        <v>136.68803182752436</v>
      </c>
      <c r="D50" s="222">
        <f t="shared" si="35"/>
        <v>23.024244355916096</v>
      </c>
      <c r="E50" s="222">
        <f t="shared" si="35"/>
        <v>-134.45930081496866</v>
      </c>
      <c r="F50" s="222">
        <f t="shared" si="35"/>
        <v>-40.037709477341167</v>
      </c>
      <c r="G50" s="409">
        <f t="shared" si="35"/>
        <v>-179.33289276842291</v>
      </c>
      <c r="H50" s="222">
        <f t="shared" si="35"/>
        <v>-171.55850574729098</v>
      </c>
      <c r="I50" s="222">
        <f t="shared" si="35"/>
        <v>-156.08843906617236</v>
      </c>
      <c r="J50" s="222">
        <f t="shared" si="35"/>
        <v>-139.44009615944049</v>
      </c>
      <c r="K50" s="222">
        <f t="shared" si="35"/>
        <v>-121.55801731139135</v>
      </c>
      <c r="L50" s="222">
        <f t="shared" si="35"/>
        <v>-102.38030512818861</v>
      </c>
      <c r="M50" s="223">
        <f t="shared" si="35"/>
        <v>-81.848965800338007</v>
      </c>
      <c r="N50" s="18"/>
      <c r="O50" s="18"/>
      <c r="P50" s="18"/>
      <c r="Q50" s="32"/>
      <c r="R50" s="32"/>
      <c r="S50" s="32"/>
      <c r="T50" s="32"/>
      <c r="U50" s="32"/>
      <c r="V50" s="32"/>
      <c r="W50" s="32"/>
      <c r="X50" s="32"/>
    </row>
    <row r="51" spans="1:24" ht="10.5" x14ac:dyDescent="0.25">
      <c r="A51" s="258" t="s">
        <v>387</v>
      </c>
      <c r="B51" s="146"/>
      <c r="C51" s="262"/>
      <c r="D51" s="236"/>
      <c r="E51" s="259"/>
      <c r="F51" s="259"/>
      <c r="G51" s="410"/>
      <c r="H51" s="259"/>
      <c r="I51" s="259"/>
      <c r="J51" s="259"/>
      <c r="K51" s="259"/>
      <c r="L51" s="259"/>
      <c r="M51" s="260"/>
      <c r="N51" s="18"/>
      <c r="P51" s="18"/>
      <c r="Q51" s="44"/>
      <c r="R51" s="32"/>
      <c r="S51" s="32"/>
      <c r="T51" s="32"/>
      <c r="U51" s="32"/>
      <c r="V51" s="32"/>
      <c r="W51" s="32"/>
      <c r="X51" s="32"/>
    </row>
    <row r="52" spans="1:24" ht="10.5" x14ac:dyDescent="0.25">
      <c r="A52" s="261" t="s">
        <v>386</v>
      </c>
      <c r="B52" s="80"/>
      <c r="C52" s="71">
        <f>C43+C47</f>
        <v>383590</v>
      </c>
      <c r="D52" s="78">
        <f>D43+D47</f>
        <v>-323158.62321800459</v>
      </c>
      <c r="E52" s="78">
        <f t="shared" ref="E52:M52" si="36">E43+E47</f>
        <v>-1191048.0093715214</v>
      </c>
      <c r="F52" s="78">
        <f t="shared" si="36"/>
        <v>-670815.63243929017</v>
      </c>
      <c r="G52" s="401">
        <f t="shared" si="36"/>
        <v>-1440064.9529030914</v>
      </c>
      <c r="H52" s="78">
        <f t="shared" si="36"/>
        <v>-1397805.7488014838</v>
      </c>
      <c r="I52" s="78">
        <f t="shared" si="36"/>
        <v>-1312839.9080976173</v>
      </c>
      <c r="J52" s="78">
        <f t="shared" si="36"/>
        <v>-1221163.9052052684</v>
      </c>
      <c r="K52" s="78">
        <f t="shared" si="36"/>
        <v>-1122483.7717268388</v>
      </c>
      <c r="L52" s="78">
        <f t="shared" si="36"/>
        <v>-1016493.9991669138</v>
      </c>
      <c r="M52" s="79">
        <f t="shared" si="36"/>
        <v>-902877.09871695284</v>
      </c>
      <c r="N52" s="18"/>
      <c r="O52" s="129"/>
      <c r="P52" s="18"/>
      <c r="Q52" s="32"/>
      <c r="R52" s="32"/>
      <c r="S52" s="32"/>
      <c r="T52" s="32"/>
      <c r="U52" s="32"/>
      <c r="V52" s="32"/>
      <c r="W52" s="32"/>
      <c r="X52" s="32"/>
    </row>
    <row r="53" spans="1:24" ht="11.5" x14ac:dyDescent="0.25">
      <c r="A53" s="321" t="s">
        <v>395</v>
      </c>
      <c r="B53" s="307"/>
      <c r="C53" s="65"/>
      <c r="D53" s="90"/>
      <c r="E53" s="66"/>
      <c r="F53" s="66"/>
      <c r="G53" s="400"/>
      <c r="H53" s="66"/>
      <c r="I53" s="66"/>
      <c r="J53" s="66"/>
      <c r="K53" s="66"/>
      <c r="L53" s="66"/>
      <c r="M53" s="67"/>
      <c r="N53" s="46"/>
      <c r="O53" s="129"/>
      <c r="P53" s="18"/>
      <c r="Q53" s="32"/>
      <c r="R53" s="32"/>
      <c r="S53" s="32"/>
      <c r="T53" s="32"/>
      <c r="U53" s="32"/>
      <c r="V53" s="32"/>
      <c r="W53" s="32"/>
      <c r="X53" s="32"/>
    </row>
    <row r="54" spans="1:24" ht="10.5" x14ac:dyDescent="0.25">
      <c r="A54" s="308" t="s">
        <v>396</v>
      </c>
      <c r="B54" s="221"/>
      <c r="C54" s="221"/>
      <c r="D54" s="317"/>
      <c r="E54" s="309"/>
      <c r="F54" s="309"/>
      <c r="G54" s="411"/>
      <c r="H54" s="309"/>
      <c r="I54" s="309"/>
      <c r="J54" s="309"/>
      <c r="K54" s="309"/>
      <c r="L54" s="309"/>
      <c r="M54" s="310"/>
      <c r="N54" s="46"/>
      <c r="O54" s="129"/>
      <c r="P54" s="18"/>
      <c r="Q54" s="32"/>
      <c r="R54" s="32"/>
      <c r="S54" s="32"/>
      <c r="T54" s="32"/>
      <c r="U54" s="32"/>
      <c r="V54" s="32"/>
      <c r="W54" s="32"/>
      <c r="X54" s="32"/>
    </row>
    <row r="55" spans="1:24" ht="10.5" x14ac:dyDescent="0.25">
      <c r="A55" s="311" t="s">
        <v>397</v>
      </c>
      <c r="B55" s="80"/>
      <c r="C55" s="142"/>
      <c r="D55" s="142">
        <f>D52-D58-D56</f>
        <v>-2887464.7482180046</v>
      </c>
      <c r="E55" s="78">
        <f t="shared" ref="E55:M55" si="37">E52-E58-E56</f>
        <v>-3782797.2779210471</v>
      </c>
      <c r="F55" s="78">
        <f t="shared" si="37"/>
        <v>-3387302.5611862428</v>
      </c>
      <c r="G55" s="401">
        <f t="shared" si="37"/>
        <v>-4221204.1786901271</v>
      </c>
      <c r="H55" s="78">
        <f t="shared" si="37"/>
        <v>-4329329.6664677793</v>
      </c>
      <c r="I55" s="78">
        <f t="shared" si="37"/>
        <v>-4388114.5485332515</v>
      </c>
      <c r="J55" s="78">
        <f t="shared" si="37"/>
        <v>-4428833.727296439</v>
      </c>
      <c r="K55" s="78">
        <f t="shared" si="37"/>
        <v>-4450580.2853774624</v>
      </c>
      <c r="L55" s="78">
        <f t="shared" si="37"/>
        <v>-4452410.3557161745</v>
      </c>
      <c r="M55" s="79">
        <f t="shared" si="37"/>
        <v>-4433341.7007156257</v>
      </c>
      <c r="N55" s="46"/>
      <c r="O55" s="129"/>
      <c r="P55" s="18"/>
      <c r="Q55" s="32"/>
      <c r="R55" s="32"/>
      <c r="S55" s="32"/>
      <c r="T55" s="32"/>
      <c r="U55" s="32"/>
      <c r="V55" s="32"/>
      <c r="W55" s="32"/>
      <c r="X55" s="32"/>
    </row>
    <row r="56" spans="1:24" ht="10.5" x14ac:dyDescent="0.25">
      <c r="A56" s="381" t="s">
        <v>435</v>
      </c>
      <c r="B56" s="264"/>
      <c r="C56" s="152">
        <f>VLOOKUP($A$4,pohjatiedot!$B$3:$CV$296,97)</f>
        <v>185133</v>
      </c>
      <c r="D56" s="318">
        <f>C56</f>
        <v>185133</v>
      </c>
      <c r="E56" s="319">
        <f t="shared" ref="E56:M56" si="38">D56</f>
        <v>185133</v>
      </c>
      <c r="F56" s="319">
        <f t="shared" si="38"/>
        <v>185133</v>
      </c>
      <c r="G56" s="319">
        <f t="shared" si="38"/>
        <v>185133</v>
      </c>
      <c r="H56" s="319">
        <f t="shared" si="38"/>
        <v>185133</v>
      </c>
      <c r="I56" s="319">
        <f t="shared" si="38"/>
        <v>185133</v>
      </c>
      <c r="J56" s="319">
        <f t="shared" si="38"/>
        <v>185133</v>
      </c>
      <c r="K56" s="319">
        <f t="shared" si="38"/>
        <v>185133</v>
      </c>
      <c r="L56" s="319">
        <f t="shared" si="38"/>
        <v>185133</v>
      </c>
      <c r="M56" s="320">
        <f t="shared" si="38"/>
        <v>185133</v>
      </c>
      <c r="N56" s="46" t="s">
        <v>399</v>
      </c>
      <c r="O56" s="129"/>
      <c r="P56" s="18"/>
      <c r="Q56" s="32"/>
      <c r="R56" s="32"/>
      <c r="S56" s="32"/>
      <c r="T56" s="32"/>
      <c r="U56" s="32"/>
      <c r="V56" s="32"/>
      <c r="W56" s="32"/>
      <c r="X56" s="32"/>
    </row>
    <row r="57" spans="1:24" s="5" customFormat="1" ht="10.5" x14ac:dyDescent="0.25">
      <c r="A57" s="312" t="s">
        <v>390</v>
      </c>
      <c r="B57" s="313"/>
      <c r="C57" s="314">
        <f>C60-B60</f>
        <v>613348</v>
      </c>
      <c r="D57" s="315">
        <f>D59-D58</f>
        <v>219545.14839620423</v>
      </c>
      <c r="E57" s="315">
        <f t="shared" ref="E57:M57" si="39">E59-E58</f>
        <v>997901.28157941671</v>
      </c>
      <c r="F57" s="315">
        <f t="shared" si="39"/>
        <v>517218.3763206657</v>
      </c>
      <c r="G57" s="376">
        <f t="shared" si="39"/>
        <v>1203077.5350340786</v>
      </c>
      <c r="H57" s="315">
        <f t="shared" si="39"/>
        <v>1150005.7821547054</v>
      </c>
      <c r="I57" s="315">
        <f t="shared" si="39"/>
        <v>1059161.4532442922</v>
      </c>
      <c r="J57" s="315">
        <f t="shared" si="39"/>
        <v>963413.53247562423</v>
      </c>
      <c r="K57" s="315">
        <f t="shared" si="39"/>
        <v>862558.74318909226</v>
      </c>
      <c r="L57" s="315">
        <f t="shared" si="39"/>
        <v>756385.96359529672</v>
      </c>
      <c r="M57" s="316">
        <f t="shared" si="39"/>
        <v>644675.92864539055</v>
      </c>
      <c r="N57" s="19"/>
      <c r="P57" s="45"/>
      <c r="Q57" s="134"/>
      <c r="R57" s="134"/>
      <c r="S57" s="134"/>
      <c r="T57" s="134"/>
      <c r="U57" s="134"/>
      <c r="V57" s="134"/>
      <c r="W57" s="134"/>
      <c r="X57" s="134"/>
    </row>
    <row r="58" spans="1:24" s="5" customFormat="1" x14ac:dyDescent="0.2">
      <c r="A58" s="252" t="s">
        <v>331</v>
      </c>
      <c r="B58" s="263"/>
      <c r="C58" s="263"/>
      <c r="D58" s="56">
        <f>IF(C60&gt;0,(C60*(1/$H$77)),IF(C60=0,0))</f>
        <v>2379173.125</v>
      </c>
      <c r="E58" s="56">
        <f t="shared" ref="E58:M58" si="40">IF(D60&gt;0,(D60*(1/$H$77)),IF(D60=0,0))</f>
        <v>2406616.2685495256</v>
      </c>
      <c r="F58" s="56">
        <f t="shared" si="40"/>
        <v>2531353.9287469527</v>
      </c>
      <c r="G58" s="292">
        <f t="shared" si="40"/>
        <v>2596006.2257870357</v>
      </c>
      <c r="H58" s="56">
        <f>IF(G60&gt;0,(G60*(1/$H$77)),IF(G60=0,0))</f>
        <v>2746390.9176662955</v>
      </c>
      <c r="I58" s="56">
        <f t="shared" si="40"/>
        <v>2890141.6404356342</v>
      </c>
      <c r="J58" s="56">
        <f t="shared" si="40"/>
        <v>3022536.8220911706</v>
      </c>
      <c r="K58" s="56">
        <f t="shared" si="40"/>
        <v>3142963.5136506236</v>
      </c>
      <c r="L58" s="56">
        <f t="shared" si="40"/>
        <v>3250783.3565492602</v>
      </c>
      <c r="M58" s="253">
        <f t="shared" si="40"/>
        <v>3345331.6019986724</v>
      </c>
      <c r="N58" s="45"/>
      <c r="O58" s="254"/>
      <c r="P58" s="45"/>
      <c r="Q58" s="134"/>
      <c r="R58" s="134"/>
      <c r="S58" s="134"/>
      <c r="T58" s="134"/>
      <c r="U58" s="134"/>
      <c r="V58" s="134"/>
      <c r="W58" s="134"/>
      <c r="X58" s="134"/>
    </row>
    <row r="59" spans="1:24" s="5" customFormat="1" x14ac:dyDescent="0.2">
      <c r="A59" s="252" t="s">
        <v>329</v>
      </c>
      <c r="B59" s="263"/>
      <c r="C59" s="263"/>
      <c r="D59" s="220">
        <f t="shared" ref="D59:M59" si="41">-(D55+(C62-D62))</f>
        <v>2598718.2733962042</v>
      </c>
      <c r="E59" s="220">
        <f t="shared" si="41"/>
        <v>3404517.5501289424</v>
      </c>
      <c r="F59" s="220">
        <f t="shared" si="41"/>
        <v>3048572.3050676184</v>
      </c>
      <c r="G59" s="412">
        <f t="shared" si="41"/>
        <v>3799083.7608211143</v>
      </c>
      <c r="H59" s="220">
        <f t="shared" si="41"/>
        <v>3896396.6998210009</v>
      </c>
      <c r="I59" s="220">
        <f t="shared" si="41"/>
        <v>3949303.0936799264</v>
      </c>
      <c r="J59" s="220">
        <f t="shared" si="41"/>
        <v>3985950.3545667948</v>
      </c>
      <c r="K59" s="220">
        <f t="shared" si="41"/>
        <v>4005522.2568397159</v>
      </c>
      <c r="L59" s="220">
        <f t="shared" si="41"/>
        <v>4007169.3201445569</v>
      </c>
      <c r="M59" s="267">
        <f t="shared" si="41"/>
        <v>3990007.5306440629</v>
      </c>
      <c r="N59" s="45"/>
      <c r="O59" s="45"/>
      <c r="P59" s="45"/>
      <c r="Q59" s="134"/>
      <c r="R59" s="134"/>
      <c r="S59" s="134"/>
      <c r="T59" s="134"/>
      <c r="U59" s="134"/>
      <c r="V59" s="134"/>
      <c r="W59" s="134"/>
      <c r="X59" s="134"/>
    </row>
    <row r="60" spans="1:24" s="3" customFormat="1" ht="10.5" x14ac:dyDescent="0.25">
      <c r="A60" s="258" t="s">
        <v>21</v>
      </c>
      <c r="B60" s="65">
        <f>VLOOKUP($A$4,pohjatiedot!$B$3:$CC$296,37)</f>
        <v>18420037</v>
      </c>
      <c r="C60" s="65">
        <f>VLOOKUP($A$4,pohjatiedot!$B$3:$CC$296,75)</f>
        <v>19033385</v>
      </c>
      <c r="D60" s="265">
        <f>C60-D58+D59</f>
        <v>19252930.148396205</v>
      </c>
      <c r="E60" s="265">
        <f t="shared" ref="E60:M60" si="42">D60-E58+E59</f>
        <v>20250831.429975621</v>
      </c>
      <c r="F60" s="265">
        <f t="shared" si="42"/>
        <v>20768049.806296285</v>
      </c>
      <c r="G60" s="413">
        <f t="shared" si="42"/>
        <v>21971127.341330364</v>
      </c>
      <c r="H60" s="265">
        <f t="shared" si="42"/>
        <v>23121133.123485073</v>
      </c>
      <c r="I60" s="265">
        <f t="shared" si="42"/>
        <v>24180294.576729365</v>
      </c>
      <c r="J60" s="265">
        <f t="shared" si="42"/>
        <v>25143708.109204989</v>
      </c>
      <c r="K60" s="265">
        <f t="shared" si="42"/>
        <v>26006266.852394082</v>
      </c>
      <c r="L60" s="265">
        <f t="shared" si="42"/>
        <v>26762652.815989379</v>
      </c>
      <c r="M60" s="266">
        <f t="shared" si="42"/>
        <v>27407328.74463477</v>
      </c>
      <c r="N60" s="19"/>
      <c r="O60" s="19"/>
      <c r="P60" s="19"/>
      <c r="Q60" s="17"/>
      <c r="R60" s="17"/>
      <c r="S60" s="17"/>
      <c r="T60" s="17"/>
      <c r="U60" s="17"/>
      <c r="V60" s="17"/>
      <c r="W60" s="17"/>
      <c r="X60" s="17"/>
    </row>
    <row r="61" spans="1:24" s="4" customFormat="1" x14ac:dyDescent="0.2">
      <c r="A61" s="26" t="s">
        <v>372</v>
      </c>
      <c r="B61" s="145">
        <f t="shared" ref="B61:M61" si="43">1000*B60/B7</f>
        <v>3351.8961649435309</v>
      </c>
      <c r="C61" s="145">
        <f t="shared" si="43"/>
        <v>3458.3115902424274</v>
      </c>
      <c r="D61" s="111">
        <f t="shared" si="43"/>
        <v>3496.473031203444</v>
      </c>
      <c r="E61" s="111">
        <f t="shared" si="43"/>
        <v>3674.1054292477302</v>
      </c>
      <c r="F61" s="111">
        <f t="shared" si="43"/>
        <v>3764.5681907251478</v>
      </c>
      <c r="G61" s="414">
        <f t="shared" si="43"/>
        <v>3979.438991525763</v>
      </c>
      <c r="H61" s="111">
        <f t="shared" si="43"/>
        <v>4184.7939648319107</v>
      </c>
      <c r="I61" s="111">
        <f t="shared" si="43"/>
        <v>4373.9256746905039</v>
      </c>
      <c r="J61" s="111">
        <f t="shared" si="43"/>
        <v>4546.0682777344737</v>
      </c>
      <c r="K61" s="111">
        <f t="shared" si="43"/>
        <v>4700.4606520559892</v>
      </c>
      <c r="L61" s="111">
        <f t="shared" si="43"/>
        <v>4836.1916590088058</v>
      </c>
      <c r="M61" s="112">
        <f t="shared" si="43"/>
        <v>4952.6889423803505</v>
      </c>
      <c r="N61" s="47"/>
      <c r="O61" s="47"/>
      <c r="P61" s="47"/>
      <c r="Q61" s="46"/>
      <c r="R61" s="46"/>
      <c r="S61" s="46"/>
      <c r="T61" s="46"/>
      <c r="U61" s="46"/>
      <c r="V61" s="46"/>
      <c r="W61" s="46"/>
      <c r="X61" s="46"/>
    </row>
    <row r="62" spans="1:24" s="3" customFormat="1" ht="10.5" x14ac:dyDescent="0.25">
      <c r="A62" s="21" t="s">
        <v>35</v>
      </c>
      <c r="B62" s="65">
        <f>VLOOKUP($A$4,pohjatiedot!$B$3:$CC$296,35)</f>
        <v>5060919</v>
      </c>
      <c r="C62" s="65">
        <f>VLOOKUP($A$4,pohjatiedot!$B$3:$CC$296,73)</f>
        <v>6454537</v>
      </c>
      <c r="D62" s="69">
        <f>IF(D55&gt;0,(C62+D55),IF(C62+(D55*$H$79)&lt;0,0,IF(C62+(D55*$H$79)&gt;0,C62+(D55*$H$79))))</f>
        <v>6165790.5251781996</v>
      </c>
      <c r="E62" s="69">
        <f t="shared" ref="E62:M62" si="44">IF(E55&gt;0,(D62+E55),IF(D62+(E55*$H$79)&lt;0,0,IF(D62+(E55*$H$79)&gt;0,D62+(E55*$H$79))))</f>
        <v>5787510.7973860949</v>
      </c>
      <c r="F62" s="69">
        <f t="shared" si="44"/>
        <v>5448780.5412674705</v>
      </c>
      <c r="G62" s="395">
        <f t="shared" si="44"/>
        <v>5026660.1233984577</v>
      </c>
      <c r="H62" s="69">
        <f t="shared" si="44"/>
        <v>4593727.1567516793</v>
      </c>
      <c r="I62" s="69">
        <f t="shared" si="44"/>
        <v>4154915.7018983541</v>
      </c>
      <c r="J62" s="69">
        <f t="shared" si="44"/>
        <v>3712032.3291687099</v>
      </c>
      <c r="K62" s="69">
        <f t="shared" si="44"/>
        <v>3266974.3006309634</v>
      </c>
      <c r="L62" s="69">
        <f t="shared" si="44"/>
        <v>2821733.2650593459</v>
      </c>
      <c r="M62" s="70">
        <f t="shared" si="44"/>
        <v>2378399.0949877831</v>
      </c>
      <c r="N62" s="19"/>
      <c r="O62" s="19"/>
      <c r="P62" s="19"/>
      <c r="Q62" s="17"/>
      <c r="R62" s="17"/>
      <c r="S62" s="17"/>
      <c r="T62" s="17"/>
      <c r="U62" s="17"/>
      <c r="V62" s="17"/>
      <c r="W62" s="17"/>
      <c r="X62" s="17"/>
    </row>
    <row r="63" spans="1:24" s="4" customFormat="1" x14ac:dyDescent="0.2">
      <c r="A63" s="26" t="s">
        <v>372</v>
      </c>
      <c r="B63" s="145">
        <f t="shared" ref="B63:M63" si="45">1000*B62/B7</f>
        <v>920.93598873823385</v>
      </c>
      <c r="C63" s="145">
        <f t="shared" si="45"/>
        <v>1172.7709031656002</v>
      </c>
      <c r="D63" s="111">
        <f t="shared" si="45"/>
        <v>1119.7526880930977</v>
      </c>
      <c r="E63" s="111">
        <f t="shared" si="45"/>
        <v>1050.0272502901237</v>
      </c>
      <c r="F63" s="111">
        <f t="shared" si="45"/>
        <v>987.68570449397339</v>
      </c>
      <c r="G63" s="414">
        <f t="shared" si="45"/>
        <v>910.43518074609244</v>
      </c>
      <c r="H63" s="111">
        <f t="shared" si="45"/>
        <v>831.43856224470608</v>
      </c>
      <c r="I63" s="111">
        <f t="shared" si="45"/>
        <v>751.57448587071974</v>
      </c>
      <c r="J63" s="111">
        <f t="shared" si="45"/>
        <v>671.14811961171199</v>
      </c>
      <c r="K63" s="111">
        <f t="shared" si="45"/>
        <v>590.48398751550565</v>
      </c>
      <c r="L63" s="111">
        <f t="shared" si="45"/>
        <v>509.90621050371385</v>
      </c>
      <c r="M63" s="112">
        <f t="shared" si="45"/>
        <v>429.79273930953093</v>
      </c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</row>
    <row r="64" spans="1:24" s="3" customFormat="1" ht="10.5" x14ac:dyDescent="0.25">
      <c r="A64" s="20" t="s">
        <v>353</v>
      </c>
      <c r="B64" s="65">
        <f t="shared" ref="B64:M64" si="46">B62-B60</f>
        <v>-13359118</v>
      </c>
      <c r="C64" s="65">
        <f t="shared" si="46"/>
        <v>-12578848</v>
      </c>
      <c r="D64" s="66">
        <f t="shared" si="46"/>
        <v>-13087139.623218006</v>
      </c>
      <c r="E64" s="66">
        <f t="shared" si="46"/>
        <v>-14463320.632589526</v>
      </c>
      <c r="F64" s="66">
        <f t="shared" si="46"/>
        <v>-15319269.265028816</v>
      </c>
      <c r="G64" s="400">
        <f t="shared" si="46"/>
        <v>-16944467.217931908</v>
      </c>
      <c r="H64" s="66">
        <f t="shared" si="46"/>
        <v>-18527405.966733396</v>
      </c>
      <c r="I64" s="66">
        <f t="shared" si="46"/>
        <v>-20025378.87483101</v>
      </c>
      <c r="J64" s="66">
        <f t="shared" si="46"/>
        <v>-21431675.780036278</v>
      </c>
      <c r="K64" s="66">
        <f t="shared" si="46"/>
        <v>-22739292.551763117</v>
      </c>
      <c r="L64" s="66">
        <f t="shared" si="46"/>
        <v>-23940919.550930034</v>
      </c>
      <c r="M64" s="67">
        <f t="shared" si="46"/>
        <v>-25028929.649646986</v>
      </c>
      <c r="N64" s="19"/>
      <c r="O64" s="19"/>
      <c r="P64" s="19"/>
      <c r="Q64" s="17"/>
      <c r="R64" s="17"/>
      <c r="S64" s="17"/>
      <c r="T64" s="17"/>
      <c r="U64" s="17"/>
      <c r="V64" s="17"/>
      <c r="W64" s="17"/>
      <c r="X64" s="17"/>
    </row>
    <row r="65" spans="1:24" x14ac:dyDescent="0.2">
      <c r="A65" s="26" t="s">
        <v>372</v>
      </c>
      <c r="B65" s="151">
        <f t="shared" ref="B65:M65" si="47">1000*B64/B7</f>
        <v>-2430.9601762052971</v>
      </c>
      <c r="C65" s="87">
        <f t="shared" si="47"/>
        <v>-2285.5406870768275</v>
      </c>
      <c r="D65" s="72">
        <f t="shared" si="47"/>
        <v>-2376.7203431103462</v>
      </c>
      <c r="E65" s="72">
        <f t="shared" si="47"/>
        <v>-2624.0781789576067</v>
      </c>
      <c r="F65" s="72">
        <f t="shared" si="47"/>
        <v>-2776.8824862311749</v>
      </c>
      <c r="G65" s="415">
        <f t="shared" si="47"/>
        <v>-3069.0038107796704</v>
      </c>
      <c r="H65" s="72">
        <f t="shared" si="47"/>
        <v>-3353.3554025872045</v>
      </c>
      <c r="I65" s="72">
        <f t="shared" si="47"/>
        <v>-3622.3511888197831</v>
      </c>
      <c r="J65" s="72">
        <f t="shared" si="47"/>
        <v>-3874.9201581227612</v>
      </c>
      <c r="K65" s="72">
        <f t="shared" si="47"/>
        <v>-4109.9766645404834</v>
      </c>
      <c r="L65" s="72">
        <f t="shared" si="47"/>
        <v>-4326.2854485050921</v>
      </c>
      <c r="M65" s="73">
        <f t="shared" si="47"/>
        <v>-4522.8962030708199</v>
      </c>
      <c r="N65" s="16"/>
      <c r="O65" s="16"/>
      <c r="P65" s="16"/>
      <c r="Q65" s="32"/>
      <c r="R65" s="32"/>
      <c r="S65" s="32"/>
      <c r="T65" s="32"/>
      <c r="U65" s="32"/>
      <c r="V65" s="32"/>
      <c r="W65" s="32"/>
      <c r="X65" s="32"/>
    </row>
    <row r="66" spans="1:24" x14ac:dyDescent="0.2">
      <c r="A66" s="53"/>
      <c r="B66" s="225"/>
      <c r="C66" s="123"/>
      <c r="D66" s="123"/>
      <c r="E66" s="123"/>
      <c r="F66" s="123"/>
      <c r="G66" s="399"/>
      <c r="H66" s="123"/>
      <c r="I66" s="123"/>
      <c r="J66" s="123"/>
      <c r="K66" s="123"/>
      <c r="L66" s="123"/>
      <c r="M66" s="123"/>
      <c r="N66" s="16"/>
      <c r="O66" s="16"/>
      <c r="P66" s="16"/>
      <c r="Q66" s="32"/>
      <c r="R66" s="32"/>
      <c r="S66" s="32"/>
      <c r="T66" s="32"/>
      <c r="U66" s="32"/>
      <c r="V66" s="32"/>
      <c r="W66" s="32"/>
      <c r="X66" s="32"/>
    </row>
    <row r="67" spans="1:24" ht="15.5" x14ac:dyDescent="0.35">
      <c r="A67" s="256" t="s">
        <v>471</v>
      </c>
      <c r="B67" s="225"/>
      <c r="C67" s="123"/>
      <c r="D67" s="123"/>
      <c r="E67" s="123"/>
      <c r="F67" s="123"/>
      <c r="G67" s="399"/>
      <c r="H67" s="123"/>
      <c r="I67" s="123"/>
      <c r="J67" s="123"/>
      <c r="K67" s="123"/>
      <c r="L67" s="123"/>
      <c r="M67" s="123"/>
      <c r="N67" s="16"/>
      <c r="O67" s="16"/>
      <c r="P67" s="16"/>
      <c r="Q67" s="32"/>
      <c r="R67" s="32"/>
      <c r="S67" s="32"/>
      <c r="T67" s="32"/>
      <c r="U67" s="32"/>
      <c r="V67" s="32"/>
      <c r="W67" s="32"/>
      <c r="X67" s="32"/>
    </row>
    <row r="68" spans="1:24" ht="11.5" x14ac:dyDescent="0.25">
      <c r="A68" s="257" t="s">
        <v>385</v>
      </c>
      <c r="B68" s="153"/>
      <c r="C68" s="474" t="s">
        <v>459</v>
      </c>
      <c r="D68" s="144" t="s">
        <v>322</v>
      </c>
      <c r="E68" s="14"/>
      <c r="F68" s="14"/>
      <c r="G68" s="14"/>
      <c r="H68" s="14"/>
      <c r="I68" s="147" t="s">
        <v>439</v>
      </c>
      <c r="J68" s="444"/>
      <c r="K68" s="14"/>
      <c r="L68" s="14"/>
      <c r="M68" s="15"/>
      <c r="N68" s="16"/>
      <c r="O68" s="19" t="s">
        <v>391</v>
      </c>
      <c r="P68" s="25"/>
      <c r="Q68" s="32"/>
      <c r="R68" s="32"/>
      <c r="S68" s="32"/>
      <c r="T68" s="32"/>
      <c r="U68" s="32"/>
      <c r="V68" s="32"/>
      <c r="W68" s="32"/>
      <c r="X68" s="32"/>
    </row>
    <row r="69" spans="1:24" ht="10.5" x14ac:dyDescent="0.25">
      <c r="A69" s="48" t="s">
        <v>4</v>
      </c>
      <c r="B69" s="84"/>
      <c r="C69" s="159">
        <f>((C11/B11)-1)*100</f>
        <v>-4.4138092545461642</v>
      </c>
      <c r="D69" s="237">
        <v>16.2</v>
      </c>
      <c r="E69" s="238">
        <v>-8.3000000000000007</v>
      </c>
      <c r="F69" s="238">
        <v>-32</v>
      </c>
      <c r="G69" s="238">
        <v>1.2</v>
      </c>
      <c r="H69" s="239">
        <v>1</v>
      </c>
      <c r="I69" s="240">
        <f t="shared" ref="I69:J71" si="48">H69</f>
        <v>1</v>
      </c>
      <c r="J69" s="240">
        <f t="shared" si="48"/>
        <v>1</v>
      </c>
      <c r="K69" s="240">
        <f t="shared" ref="K69:M69" si="49">J69</f>
        <v>1</v>
      </c>
      <c r="L69" s="240">
        <f t="shared" si="49"/>
        <v>1</v>
      </c>
      <c r="M69" s="240">
        <f t="shared" si="49"/>
        <v>1</v>
      </c>
      <c r="N69" s="162"/>
      <c r="O69" s="19" t="s">
        <v>392</v>
      </c>
      <c r="P69" s="25"/>
      <c r="Q69" s="88"/>
      <c r="R69" s="32"/>
      <c r="S69" s="32"/>
      <c r="T69" s="386">
        <f>100+G69</f>
        <v>101.2</v>
      </c>
      <c r="U69" s="32">
        <f>T69/100</f>
        <v>1.012</v>
      </c>
      <c r="V69" s="32"/>
      <c r="W69" s="32"/>
      <c r="X69" s="32"/>
    </row>
    <row r="70" spans="1:24" ht="12.5" x14ac:dyDescent="0.25">
      <c r="A70" s="48" t="s">
        <v>5</v>
      </c>
      <c r="B70" s="84"/>
      <c r="C70" s="159">
        <f>((C12/B12)-1)*100</f>
        <v>1.38850919185185</v>
      </c>
      <c r="D70" s="242">
        <v>4.7</v>
      </c>
      <c r="E70" s="243">
        <v>2.4</v>
      </c>
      <c r="F70" s="243">
        <v>-54.4</v>
      </c>
      <c r="G70" s="243">
        <v>1.6</v>
      </c>
      <c r="H70" s="244">
        <v>1.6</v>
      </c>
      <c r="I70" s="240">
        <f t="shared" si="48"/>
        <v>1.6</v>
      </c>
      <c r="J70" s="240">
        <f t="shared" si="48"/>
        <v>1.6</v>
      </c>
      <c r="K70" s="240">
        <f t="shared" ref="K70:M71" si="50">J70</f>
        <v>1.6</v>
      </c>
      <c r="L70" s="240">
        <f t="shared" si="50"/>
        <v>1.6</v>
      </c>
      <c r="M70" s="240">
        <f t="shared" si="50"/>
        <v>1.6</v>
      </c>
      <c r="N70" s="162"/>
      <c r="O70" s="47" t="s">
        <v>460</v>
      </c>
      <c r="P70" s="161"/>
      <c r="Q70" s="88"/>
      <c r="R70" s="32"/>
      <c r="S70" s="32"/>
      <c r="T70" s="386">
        <f>100+G70</f>
        <v>101.6</v>
      </c>
      <c r="U70" s="32">
        <f>T70/100</f>
        <v>1.016</v>
      </c>
      <c r="V70" s="32"/>
      <c r="W70" s="32"/>
      <c r="X70" s="32"/>
    </row>
    <row r="71" spans="1:24" ht="12.5" x14ac:dyDescent="0.25">
      <c r="A71" s="48" t="s">
        <v>15</v>
      </c>
      <c r="B71" s="84"/>
      <c r="C71" s="159">
        <f>((C14/B14)-1)*100</f>
        <v>2.8295935369573311</v>
      </c>
      <c r="D71" s="242">
        <v>5.4</v>
      </c>
      <c r="E71" s="243">
        <v>2.2000000000000002</v>
      </c>
      <c r="F71" s="243">
        <v>2.2999999999999998</v>
      </c>
      <c r="G71" s="243">
        <v>3.5</v>
      </c>
      <c r="H71" s="243">
        <v>3.3</v>
      </c>
      <c r="I71" s="242">
        <v>3</v>
      </c>
      <c r="J71" s="242">
        <f t="shared" si="48"/>
        <v>3</v>
      </c>
      <c r="K71" s="242">
        <f t="shared" si="50"/>
        <v>3</v>
      </c>
      <c r="L71" s="242">
        <f t="shared" si="50"/>
        <v>3</v>
      </c>
      <c r="M71" s="242">
        <f t="shared" si="50"/>
        <v>3</v>
      </c>
      <c r="N71" s="162"/>
      <c r="O71" s="47"/>
      <c r="P71" s="161"/>
      <c r="Q71" s="88"/>
      <c r="R71" s="32"/>
      <c r="S71" s="32"/>
      <c r="T71" s="386"/>
      <c r="U71" s="32"/>
      <c r="V71" s="32"/>
      <c r="W71" s="32"/>
      <c r="X71" s="32"/>
    </row>
    <row r="72" spans="1:24" ht="10.5" x14ac:dyDescent="0.25">
      <c r="A72" s="49" t="s">
        <v>13</v>
      </c>
      <c r="B72" s="84"/>
      <c r="C72" s="159">
        <f>((C15/B15)-1)*100</f>
        <v>5.1270918912503349</v>
      </c>
      <c r="D72" s="242">
        <v>1.7</v>
      </c>
      <c r="E72" s="243">
        <v>3.7</v>
      </c>
      <c r="F72" s="243">
        <v>-53.7</v>
      </c>
      <c r="G72" s="243">
        <v>-5.0999999999999996</v>
      </c>
      <c r="H72" s="244">
        <v>1.9</v>
      </c>
      <c r="I72" s="240">
        <f>H72</f>
        <v>1.9</v>
      </c>
      <c r="J72" s="240">
        <f t="shared" ref="J72:M75" si="51">I72</f>
        <v>1.9</v>
      </c>
      <c r="K72" s="240">
        <f t="shared" si="51"/>
        <v>1.9</v>
      </c>
      <c r="L72" s="240">
        <f t="shared" si="51"/>
        <v>1.9</v>
      </c>
      <c r="M72" s="241">
        <f t="shared" si="51"/>
        <v>1.9</v>
      </c>
      <c r="N72" s="162"/>
      <c r="O72" s="47" t="s">
        <v>461</v>
      </c>
      <c r="P72" s="25"/>
      <c r="Q72" s="16"/>
      <c r="R72" s="32"/>
      <c r="S72" s="32"/>
      <c r="T72" s="32"/>
      <c r="U72" s="32"/>
      <c r="V72" s="32"/>
      <c r="W72" s="32"/>
      <c r="X72" s="32"/>
    </row>
    <row r="73" spans="1:24" ht="10.5" x14ac:dyDescent="0.25">
      <c r="A73" s="49" t="s">
        <v>370</v>
      </c>
      <c r="B73" s="84"/>
      <c r="C73" s="159">
        <f>((C16/B16)-1)*100</f>
        <v>2.8389721620657227</v>
      </c>
      <c r="D73" s="242">
        <v>26.4</v>
      </c>
      <c r="E73" s="243">
        <v>-16</v>
      </c>
      <c r="F73" s="243">
        <v>-28.1</v>
      </c>
      <c r="G73" s="243">
        <v>-7.3</v>
      </c>
      <c r="H73" s="244">
        <v>4.2</v>
      </c>
      <c r="I73" s="240">
        <f>H73</f>
        <v>4.2</v>
      </c>
      <c r="J73" s="240">
        <f t="shared" si="51"/>
        <v>4.2</v>
      </c>
      <c r="K73" s="240">
        <f t="shared" si="51"/>
        <v>4.2</v>
      </c>
      <c r="L73" s="240">
        <f t="shared" si="51"/>
        <v>4.2</v>
      </c>
      <c r="M73" s="241">
        <f t="shared" si="51"/>
        <v>4.2</v>
      </c>
      <c r="N73" s="162"/>
      <c r="O73" s="47" t="s">
        <v>393</v>
      </c>
      <c r="P73" s="25"/>
      <c r="Q73" s="88"/>
      <c r="R73" s="32"/>
      <c r="S73" s="32"/>
      <c r="T73" s="32"/>
      <c r="U73" s="32"/>
      <c r="V73" s="32"/>
      <c r="W73" s="32"/>
      <c r="X73" s="32"/>
    </row>
    <row r="74" spans="1:24" ht="10.5" x14ac:dyDescent="0.25">
      <c r="A74" s="49" t="s">
        <v>2</v>
      </c>
      <c r="B74" s="84"/>
      <c r="C74" s="159">
        <f>((C17/B17)-1)*100</f>
        <v>-6.5464360976686287</v>
      </c>
      <c r="D74" s="242">
        <v>20.6</v>
      </c>
      <c r="E74" s="243">
        <v>-3.5</v>
      </c>
      <c r="F74" s="243">
        <v>1.3</v>
      </c>
      <c r="G74" s="243">
        <v>1.3</v>
      </c>
      <c r="H74" s="244">
        <v>1.2</v>
      </c>
      <c r="I74" s="240">
        <f t="shared" ref="I74:I75" si="52">H74</f>
        <v>1.2</v>
      </c>
      <c r="J74" s="240">
        <f t="shared" si="51"/>
        <v>1.2</v>
      </c>
      <c r="K74" s="240">
        <f t="shared" si="51"/>
        <v>1.2</v>
      </c>
      <c r="L74" s="240">
        <f t="shared" si="51"/>
        <v>1.2</v>
      </c>
      <c r="M74" s="241">
        <f t="shared" si="51"/>
        <v>1.2</v>
      </c>
      <c r="N74" s="162"/>
      <c r="O74" s="47" t="s">
        <v>394</v>
      </c>
      <c r="P74" s="25"/>
      <c r="Q74" s="88"/>
      <c r="R74" s="32"/>
      <c r="S74" s="32"/>
      <c r="T74" s="32"/>
      <c r="U74" s="32"/>
      <c r="V74" s="32"/>
      <c r="W74" s="32"/>
      <c r="X74" s="32"/>
    </row>
    <row r="75" spans="1:24" ht="10.5" x14ac:dyDescent="0.25">
      <c r="A75" s="50" t="s">
        <v>327</v>
      </c>
      <c r="B75" s="85"/>
      <c r="C75" s="160">
        <f>((C19/B19)-1)*100</f>
        <v>27.368754842581033</v>
      </c>
      <c r="D75" s="445">
        <v>18.5</v>
      </c>
      <c r="E75" s="336">
        <v>-6.1</v>
      </c>
      <c r="F75" s="245">
        <v>9.6999999999999993</v>
      </c>
      <c r="G75" s="245">
        <v>3.8</v>
      </c>
      <c r="H75" s="246">
        <v>3.1</v>
      </c>
      <c r="I75" s="240">
        <f t="shared" si="52"/>
        <v>3.1</v>
      </c>
      <c r="J75" s="247">
        <f t="shared" si="51"/>
        <v>3.1</v>
      </c>
      <c r="K75" s="247">
        <f t="shared" si="51"/>
        <v>3.1</v>
      </c>
      <c r="L75" s="247">
        <f t="shared" si="51"/>
        <v>3.1</v>
      </c>
      <c r="M75" s="248">
        <f t="shared" si="51"/>
        <v>3.1</v>
      </c>
      <c r="N75" s="162"/>
      <c r="O75" s="47"/>
      <c r="P75" s="25"/>
      <c r="Q75" s="88"/>
      <c r="R75" s="32"/>
      <c r="S75" s="32"/>
      <c r="T75" s="32"/>
      <c r="U75" s="32"/>
      <c r="V75" s="32"/>
      <c r="W75" s="32"/>
      <c r="X75" s="32"/>
    </row>
    <row r="76" spans="1:24" ht="15.5" x14ac:dyDescent="0.35">
      <c r="A76" s="99" t="s">
        <v>330</v>
      </c>
      <c r="B76" s="155"/>
      <c r="C76" s="98"/>
      <c r="D76" s="133"/>
      <c r="E76" s="338"/>
      <c r="F76" s="98"/>
      <c r="G76" s="98"/>
      <c r="H76" s="98"/>
      <c r="I76" s="98"/>
      <c r="J76" s="98"/>
      <c r="K76" s="98"/>
      <c r="L76" s="98"/>
      <c r="M76" s="98"/>
      <c r="N76" s="16"/>
      <c r="O76" s="16"/>
      <c r="P76" s="16"/>
      <c r="Q76" s="32"/>
      <c r="R76" s="32"/>
      <c r="S76" s="32"/>
      <c r="T76" s="32"/>
      <c r="U76" s="32"/>
      <c r="V76" s="32"/>
      <c r="W76" s="32"/>
      <c r="X76" s="32"/>
    </row>
    <row r="77" spans="1:24" s="5" customFormat="1" ht="13" x14ac:dyDescent="0.3">
      <c r="A77" s="287" t="s">
        <v>368</v>
      </c>
      <c r="B77" s="288"/>
      <c r="C77" s="288"/>
      <c r="D77" s="288"/>
      <c r="E77" s="211"/>
      <c r="H77" s="294">
        <v>8</v>
      </c>
      <c r="I77" s="289" t="s">
        <v>360</v>
      </c>
      <c r="J77" s="289"/>
      <c r="K77" s="289"/>
      <c r="L77" s="289"/>
      <c r="M77" s="289"/>
      <c r="N77" s="290"/>
      <c r="O77" s="290"/>
      <c r="P77" s="290"/>
      <c r="Q77" s="134"/>
      <c r="R77" s="134"/>
      <c r="S77" s="134"/>
      <c r="T77" s="134"/>
      <c r="U77" s="134"/>
      <c r="V77" s="134"/>
      <c r="W77" s="134"/>
      <c r="X77" s="134"/>
    </row>
    <row r="78" spans="1:24" s="5" customFormat="1" ht="13" x14ac:dyDescent="0.3">
      <c r="A78" s="287" t="s">
        <v>369</v>
      </c>
      <c r="B78" s="288"/>
      <c r="C78" s="288"/>
      <c r="D78" s="288"/>
      <c r="E78" s="211"/>
      <c r="H78" s="295">
        <v>2</v>
      </c>
      <c r="I78" s="289" t="s">
        <v>359</v>
      </c>
      <c r="J78" s="289"/>
      <c r="K78" s="289"/>
      <c r="M78" s="289"/>
      <c r="N78" s="290"/>
      <c r="O78" s="290"/>
      <c r="P78" s="290"/>
      <c r="Q78" s="134"/>
      <c r="R78" s="134"/>
      <c r="S78" s="134"/>
      <c r="T78" s="134"/>
      <c r="U78" s="134"/>
      <c r="V78" s="134"/>
      <c r="W78" s="134"/>
      <c r="X78" s="134"/>
    </row>
    <row r="79" spans="1:24" s="5" customFormat="1" ht="13" x14ac:dyDescent="0.3">
      <c r="A79" s="291" t="s">
        <v>398</v>
      </c>
      <c r="B79" s="292"/>
      <c r="C79" s="292"/>
      <c r="D79" s="292"/>
      <c r="E79" s="292"/>
      <c r="H79" s="296">
        <v>0.1</v>
      </c>
      <c r="I79" s="56" t="s">
        <v>389</v>
      </c>
      <c r="J79" s="56"/>
      <c r="K79" s="56"/>
      <c r="L79" s="56"/>
      <c r="M79" s="56"/>
      <c r="N79" s="286"/>
      <c r="O79" s="286"/>
      <c r="P79" s="286"/>
      <c r="Q79" s="134"/>
      <c r="R79" s="134"/>
      <c r="S79" s="134"/>
      <c r="T79" s="134"/>
      <c r="U79" s="134"/>
      <c r="V79" s="134"/>
      <c r="W79" s="134"/>
      <c r="X79" s="134"/>
    </row>
    <row r="80" spans="1:24" s="5" customFormat="1" ht="10.5" x14ac:dyDescent="0.25">
      <c r="A80" s="293"/>
      <c r="B80" s="286"/>
      <c r="C80" s="286"/>
      <c r="D80" s="286"/>
      <c r="E80" s="286"/>
      <c r="F80" s="286"/>
      <c r="G80" s="286"/>
      <c r="H80" s="286"/>
      <c r="I80" s="286"/>
      <c r="J80" s="286"/>
      <c r="K80" s="286"/>
      <c r="L80" s="286"/>
      <c r="M80" s="286"/>
      <c r="N80" s="286"/>
      <c r="O80" s="286"/>
      <c r="P80" s="286"/>
      <c r="Q80" s="134"/>
      <c r="R80" s="134"/>
      <c r="S80" s="134"/>
      <c r="T80" s="134"/>
      <c r="U80" s="134"/>
      <c r="V80" s="134"/>
      <c r="W80" s="134"/>
      <c r="X80" s="134"/>
    </row>
    <row r="81" spans="1:24" ht="11.5" x14ac:dyDescent="0.25">
      <c r="A81" s="128"/>
      <c r="B81" s="156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32"/>
      <c r="R81" s="32"/>
      <c r="S81" s="32"/>
      <c r="T81" s="32"/>
      <c r="U81" s="32"/>
      <c r="V81" s="32"/>
      <c r="W81" s="32"/>
      <c r="X81" s="32"/>
    </row>
    <row r="82" spans="1:24" ht="10.5" x14ac:dyDescent="0.25">
      <c r="A82" s="114"/>
      <c r="B82" s="122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64"/>
      <c r="O82" s="64"/>
      <c r="P82" s="64"/>
      <c r="Q82" s="32"/>
      <c r="R82" s="32"/>
      <c r="S82" s="32"/>
      <c r="T82" s="32"/>
      <c r="U82" s="32"/>
      <c r="V82" s="32"/>
      <c r="W82" s="32"/>
      <c r="X82" s="32"/>
    </row>
    <row r="83" spans="1:24" ht="10.5" x14ac:dyDescent="0.25">
      <c r="A83" s="114"/>
      <c r="B83" s="122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64"/>
      <c r="O83" s="64"/>
      <c r="P83" s="64"/>
      <c r="Q83" s="32"/>
      <c r="R83" s="32"/>
      <c r="S83" s="32"/>
      <c r="T83" s="32"/>
      <c r="U83" s="32"/>
      <c r="V83" s="32"/>
      <c r="W83" s="32"/>
      <c r="X83" s="32"/>
    </row>
    <row r="84" spans="1:24" ht="10.5" x14ac:dyDescent="0.25">
      <c r="A84" s="231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77"/>
      <c r="O84" s="64"/>
      <c r="P84" s="64"/>
      <c r="Q84" s="32"/>
      <c r="R84" s="32"/>
      <c r="S84" s="32"/>
      <c r="T84" s="32"/>
      <c r="U84" s="32"/>
      <c r="V84" s="32"/>
      <c r="W84" s="32"/>
      <c r="X84" s="32"/>
    </row>
    <row r="85" spans="1:24" s="172" customFormat="1" x14ac:dyDescent="0.2">
      <c r="A85" s="115"/>
      <c r="B85" s="116" t="str">
        <f>B5</f>
        <v>TP 2019</v>
      </c>
      <c r="C85" s="116" t="str">
        <f t="shared" ref="C85:M85" si="53">C5</f>
        <v>TP 2020</v>
      </c>
      <c r="D85" s="116">
        <f t="shared" si="53"/>
        <v>2021</v>
      </c>
      <c r="E85" s="116">
        <f t="shared" si="53"/>
        <v>2022</v>
      </c>
      <c r="F85" s="116">
        <f t="shared" si="53"/>
        <v>2023</v>
      </c>
      <c r="G85" s="116">
        <f t="shared" si="53"/>
        <v>2024</v>
      </c>
      <c r="H85" s="116">
        <f t="shared" si="53"/>
        <v>2025</v>
      </c>
      <c r="I85" s="116">
        <f t="shared" si="53"/>
        <v>2026</v>
      </c>
      <c r="J85" s="116">
        <f t="shared" si="53"/>
        <v>2027</v>
      </c>
      <c r="K85" s="116">
        <f t="shared" si="53"/>
        <v>2028</v>
      </c>
      <c r="L85" s="116">
        <f t="shared" si="53"/>
        <v>2029</v>
      </c>
      <c r="M85" s="116">
        <f t="shared" si="53"/>
        <v>2030</v>
      </c>
      <c r="N85" s="226"/>
      <c r="O85" s="226"/>
      <c r="P85" s="177"/>
      <c r="Q85" s="178"/>
      <c r="R85" s="178"/>
      <c r="S85" s="178"/>
      <c r="T85" s="178"/>
      <c r="U85" s="178"/>
      <c r="V85" s="178"/>
      <c r="W85" s="178"/>
      <c r="X85" s="178"/>
    </row>
    <row r="86" spans="1:24" s="172" customFormat="1" x14ac:dyDescent="0.2">
      <c r="A86" s="115" t="s">
        <v>33</v>
      </c>
      <c r="B86" s="115">
        <f>B26</f>
        <v>318.01387631273235</v>
      </c>
      <c r="C86" s="115">
        <f t="shared" ref="C86:M86" si="54">C26</f>
        <v>740.05008299925282</v>
      </c>
      <c r="D86" s="115">
        <f t="shared" si="54"/>
        <v>626.0880324739303</v>
      </c>
      <c r="E86" s="115">
        <f t="shared" si="54"/>
        <v>468.01518470438879</v>
      </c>
      <c r="F86" s="115">
        <f t="shared" si="54"/>
        <v>561.89695635187059</v>
      </c>
      <c r="G86" s="115">
        <f t="shared" si="54"/>
        <v>422.11694695734496</v>
      </c>
      <c r="H86" s="115">
        <f t="shared" si="54"/>
        <v>429.46972303316022</v>
      </c>
      <c r="I86" s="115">
        <f t="shared" si="54"/>
        <v>444.58677974502439</v>
      </c>
      <c r="J86" s="115">
        <f t="shared" si="54"/>
        <v>460.95416376607938</v>
      </c>
      <c r="K86" s="115">
        <f t="shared" si="54"/>
        <v>478.63689635291689</v>
      </c>
      <c r="L86" s="115">
        <f t="shared" si="54"/>
        <v>497.69291724157057</v>
      </c>
      <c r="M86" s="115">
        <f t="shared" si="54"/>
        <v>518.22425656942119</v>
      </c>
      <c r="N86" s="226"/>
      <c r="O86" s="226"/>
      <c r="P86" s="177"/>
      <c r="Q86" s="178"/>
      <c r="R86" s="178"/>
      <c r="S86" s="178"/>
      <c r="T86" s="178"/>
      <c r="U86" s="178"/>
      <c r="V86" s="178"/>
      <c r="W86" s="178"/>
      <c r="X86" s="178"/>
    </row>
    <row r="87" spans="1:24" s="172" customFormat="1" x14ac:dyDescent="0.2">
      <c r="A87" s="115" t="s">
        <v>16</v>
      </c>
      <c r="B87" s="115">
        <f>1000*B27/B7</f>
        <v>419.57303261195528</v>
      </c>
      <c r="C87" s="115">
        <f t="shared" ref="C87:M87" si="55">1000*C27/C7</f>
        <v>435.62343195369488</v>
      </c>
      <c r="D87" s="115">
        <f t="shared" si="55"/>
        <v>438.02053651887098</v>
      </c>
      <c r="E87" s="115">
        <f t="shared" si="55"/>
        <v>440.21806615005113</v>
      </c>
      <c r="F87" s="115">
        <f t="shared" si="55"/>
        <v>442.46257067211189</v>
      </c>
      <c r="G87" s="115">
        <f t="shared" si="55"/>
        <v>444.75882793672645</v>
      </c>
      <c r="H87" s="115">
        <f t="shared" si="55"/>
        <v>447.11373832176719</v>
      </c>
      <c r="I87" s="115">
        <f t="shared" si="55"/>
        <v>449.5322357882352</v>
      </c>
      <c r="J87" s="115">
        <f t="shared" si="55"/>
        <v>452.01790411832644</v>
      </c>
      <c r="K87" s="115">
        <f t="shared" si="55"/>
        <v>454.57902954052179</v>
      </c>
      <c r="L87" s="115">
        <f t="shared" si="55"/>
        <v>457.21378347109822</v>
      </c>
      <c r="M87" s="115">
        <f t="shared" si="55"/>
        <v>459.95706617192485</v>
      </c>
      <c r="N87" s="226"/>
      <c r="O87" s="226"/>
      <c r="P87" s="177"/>
      <c r="Q87" s="178"/>
      <c r="R87" s="178"/>
      <c r="S87" s="178"/>
      <c r="T87" s="178"/>
      <c r="U87" s="178"/>
      <c r="V87" s="178"/>
      <c r="W87" s="178"/>
      <c r="X87" s="178"/>
    </row>
    <row r="88" spans="1:24" s="172" customFormat="1" x14ac:dyDescent="0.2">
      <c r="A88" s="115" t="s">
        <v>0</v>
      </c>
      <c r="B88" s="115">
        <f t="shared" ref="B88:M88" si="56">-1000*B47/B7</f>
        <v>497.33522970450963</v>
      </c>
      <c r="C88" s="115">
        <f t="shared" si="56"/>
        <v>603.36205117172847</v>
      </c>
      <c r="D88" s="115">
        <f t="shared" si="56"/>
        <v>603.06378811801426</v>
      </c>
      <c r="E88" s="115">
        <f t="shared" si="56"/>
        <v>602.47448551935747</v>
      </c>
      <c r="F88" s="115">
        <f t="shared" si="56"/>
        <v>601.93466582921178</v>
      </c>
      <c r="G88" s="115">
        <f t="shared" si="56"/>
        <v>601.4498397257679</v>
      </c>
      <c r="H88" s="115">
        <f t="shared" si="56"/>
        <v>601.02822878045117</v>
      </c>
      <c r="I88" s="115">
        <f t="shared" si="56"/>
        <v>600.67521881119671</v>
      </c>
      <c r="J88" s="115">
        <f t="shared" si="56"/>
        <v>600.3942599255198</v>
      </c>
      <c r="K88" s="115">
        <f t="shared" si="56"/>
        <v>600.19491366430816</v>
      </c>
      <c r="L88" s="115">
        <f t="shared" si="56"/>
        <v>600.07322236975926</v>
      </c>
      <c r="M88" s="115">
        <f t="shared" si="56"/>
        <v>600.07322236975926</v>
      </c>
      <c r="N88" s="226"/>
      <c r="O88" s="226"/>
      <c r="P88" s="177"/>
      <c r="Q88" s="178"/>
      <c r="R88" s="178"/>
      <c r="S88" s="178"/>
      <c r="T88" s="178"/>
      <c r="U88" s="178"/>
      <c r="V88" s="178"/>
      <c r="W88" s="178"/>
      <c r="X88" s="178"/>
    </row>
    <row r="89" spans="1:24" x14ac:dyDescent="0.2">
      <c r="A89" s="286"/>
      <c r="B89" s="286"/>
      <c r="C89" s="286"/>
      <c r="D89" s="286"/>
      <c r="E89" s="286"/>
      <c r="F89" s="286"/>
      <c r="G89" s="286"/>
      <c r="H89" s="286"/>
      <c r="I89" s="286"/>
      <c r="J89" s="286"/>
      <c r="K89" s="286"/>
      <c r="L89" s="286"/>
      <c r="M89" s="286"/>
      <c r="N89" s="226"/>
      <c r="O89" s="226"/>
      <c r="P89" s="64"/>
      <c r="Q89" s="32"/>
      <c r="R89" s="32"/>
      <c r="S89" s="32"/>
      <c r="T89" s="32"/>
      <c r="U89" s="32"/>
      <c r="V89" s="32"/>
      <c r="W89" s="32"/>
      <c r="X89" s="32"/>
    </row>
    <row r="90" spans="1:24" ht="10.5" x14ac:dyDescent="0.25">
      <c r="A90" s="226"/>
      <c r="B90" s="226"/>
      <c r="C90" s="226"/>
      <c r="D90" s="226"/>
      <c r="E90" s="226"/>
      <c r="F90" s="226"/>
      <c r="G90" s="226"/>
      <c r="H90" s="226"/>
      <c r="I90" s="226"/>
      <c r="J90" s="226"/>
      <c r="K90" s="226"/>
      <c r="L90" s="227"/>
      <c r="M90" s="228"/>
      <c r="N90" s="226"/>
      <c r="O90" s="226"/>
      <c r="P90" s="64"/>
      <c r="Q90" s="32"/>
      <c r="R90" s="32"/>
      <c r="S90" s="32"/>
      <c r="T90" s="32"/>
      <c r="U90" s="32"/>
      <c r="V90" s="32"/>
      <c r="W90" s="32"/>
      <c r="X90" s="32"/>
    </row>
    <row r="91" spans="1:24" x14ac:dyDescent="0.2">
      <c r="A91" s="226"/>
      <c r="B91" s="226"/>
      <c r="C91" s="226"/>
      <c r="D91" s="226"/>
      <c r="E91" s="226"/>
      <c r="F91" s="226"/>
      <c r="G91" s="226"/>
      <c r="H91" s="226"/>
      <c r="I91" s="226"/>
      <c r="J91" s="226"/>
      <c r="K91" s="226"/>
      <c r="L91" s="226"/>
      <c r="M91" s="226"/>
      <c r="N91" s="173"/>
      <c r="O91" s="64"/>
      <c r="P91" s="64"/>
      <c r="Q91" s="32"/>
      <c r="R91" s="32"/>
      <c r="S91" s="32"/>
      <c r="T91" s="32"/>
      <c r="U91" s="32"/>
      <c r="V91" s="32"/>
      <c r="W91" s="32"/>
      <c r="X91" s="32"/>
    </row>
    <row r="92" spans="1:24" x14ac:dyDescent="0.2">
      <c r="A92" s="64"/>
      <c r="B92" s="156"/>
      <c r="C92" s="64"/>
      <c r="D92" s="64"/>
      <c r="E92" s="64"/>
      <c r="F92" s="64"/>
      <c r="G92" s="64"/>
      <c r="H92" s="64"/>
      <c r="I92" s="64"/>
      <c r="J92" s="64"/>
      <c r="K92" s="64"/>
      <c r="L92" s="118"/>
      <c r="M92" s="94"/>
      <c r="N92" s="94"/>
      <c r="O92" s="94"/>
      <c r="P92" s="94"/>
      <c r="Q92" s="32"/>
      <c r="R92" s="32"/>
      <c r="S92" s="32"/>
      <c r="T92" s="32"/>
      <c r="U92" s="32"/>
      <c r="V92" s="32"/>
      <c r="W92" s="32"/>
      <c r="X92" s="32"/>
    </row>
    <row r="93" spans="1:24" x14ac:dyDescent="0.2">
      <c r="A93" s="64"/>
      <c r="B93" s="156"/>
      <c r="C93" s="64"/>
      <c r="D93" s="64"/>
      <c r="E93" s="64"/>
      <c r="F93" s="64"/>
      <c r="G93" s="64"/>
      <c r="H93" s="64"/>
      <c r="I93" s="64"/>
      <c r="J93" s="64"/>
      <c r="K93" s="64"/>
      <c r="L93" s="119"/>
      <c r="M93" s="94"/>
      <c r="N93" s="94"/>
      <c r="O93" s="94"/>
      <c r="P93" s="94"/>
      <c r="Q93" s="32"/>
      <c r="R93" s="32"/>
      <c r="S93" s="32"/>
      <c r="T93" s="32"/>
      <c r="U93" s="32"/>
      <c r="V93" s="32"/>
      <c r="W93" s="32"/>
      <c r="X93" s="32"/>
    </row>
    <row r="94" spans="1:24" x14ac:dyDescent="0.2">
      <c r="A94" s="64"/>
      <c r="B94" s="156"/>
      <c r="C94" s="64"/>
      <c r="D94" s="64"/>
      <c r="E94" s="64"/>
      <c r="F94" s="64"/>
      <c r="G94" s="64"/>
      <c r="H94" s="64"/>
      <c r="I94" s="64"/>
      <c r="J94" s="64"/>
      <c r="K94" s="64"/>
      <c r="L94" s="117"/>
      <c r="M94" s="94"/>
      <c r="N94" s="94"/>
      <c r="O94" s="94"/>
      <c r="P94" s="94"/>
      <c r="Q94" s="32"/>
      <c r="R94" s="32"/>
      <c r="S94" s="32"/>
      <c r="T94" s="32"/>
      <c r="U94" s="32"/>
      <c r="V94" s="32"/>
      <c r="W94" s="32"/>
      <c r="X94" s="32"/>
    </row>
    <row r="95" spans="1:24" x14ac:dyDescent="0.2">
      <c r="A95" s="64"/>
      <c r="B95" s="156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32"/>
      <c r="R95" s="32"/>
      <c r="S95" s="32"/>
      <c r="T95" s="32"/>
      <c r="U95" s="32"/>
      <c r="V95" s="32"/>
      <c r="W95" s="32"/>
      <c r="X95" s="32"/>
    </row>
    <row r="96" spans="1:24" x14ac:dyDescent="0.2">
      <c r="A96" s="64"/>
      <c r="B96" s="156"/>
      <c r="C96" s="64"/>
      <c r="D96" s="64"/>
      <c r="E96" s="64"/>
      <c r="F96" s="64"/>
      <c r="G96" s="64"/>
      <c r="H96" s="64"/>
      <c r="I96" s="64"/>
      <c r="J96" s="64"/>
      <c r="K96" s="64"/>
      <c r="L96" s="118"/>
      <c r="M96" s="94"/>
      <c r="N96" s="94"/>
      <c r="O96" s="94"/>
      <c r="P96" s="94"/>
      <c r="Q96" s="32"/>
      <c r="R96" s="32"/>
      <c r="S96" s="32"/>
      <c r="T96" s="32"/>
      <c r="U96" s="32"/>
      <c r="V96" s="32"/>
      <c r="W96" s="32"/>
      <c r="X96" s="32"/>
    </row>
    <row r="97" spans="1:24" x14ac:dyDescent="0.2">
      <c r="A97" s="64"/>
      <c r="B97" s="156"/>
      <c r="C97" s="64"/>
      <c r="D97" s="64"/>
      <c r="E97" s="64"/>
      <c r="F97" s="64"/>
      <c r="G97" s="64"/>
      <c r="H97" s="64"/>
      <c r="I97" s="64"/>
      <c r="J97" s="64"/>
      <c r="K97" s="64"/>
      <c r="L97" s="119"/>
      <c r="M97" s="94"/>
      <c r="N97" s="94"/>
      <c r="O97" s="94"/>
      <c r="P97" s="94"/>
      <c r="Q97" s="32"/>
      <c r="R97" s="32"/>
      <c r="S97" s="32"/>
      <c r="T97" s="32"/>
      <c r="U97" s="32"/>
      <c r="V97" s="32"/>
      <c r="W97" s="32"/>
      <c r="X97" s="32"/>
    </row>
    <row r="98" spans="1:24" x14ac:dyDescent="0.2">
      <c r="A98" s="64"/>
      <c r="B98" s="156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32"/>
      <c r="R98" s="32"/>
      <c r="S98" s="32"/>
      <c r="T98" s="32"/>
      <c r="U98" s="32"/>
      <c r="V98" s="32"/>
      <c r="W98" s="32"/>
      <c r="X98" s="32"/>
    </row>
    <row r="99" spans="1:24" x14ac:dyDescent="0.2">
      <c r="A99" s="64"/>
      <c r="B99" s="156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32"/>
      <c r="R99" s="32"/>
      <c r="S99" s="32"/>
      <c r="T99" s="32"/>
      <c r="U99" s="32"/>
      <c r="V99" s="32"/>
      <c r="W99" s="32"/>
      <c r="X99" s="32"/>
    </row>
    <row r="100" spans="1:24" x14ac:dyDescent="0.2">
      <c r="A100" s="64"/>
      <c r="B100" s="156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32"/>
      <c r="R100" s="32"/>
      <c r="S100" s="32"/>
      <c r="T100" s="32"/>
      <c r="U100" s="32"/>
      <c r="V100" s="32"/>
      <c r="W100" s="32"/>
      <c r="X100" s="32"/>
    </row>
    <row r="101" spans="1:24" x14ac:dyDescent="0.2">
      <c r="A101" s="64"/>
      <c r="B101" s="156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32"/>
      <c r="R101" s="32"/>
      <c r="S101" s="32"/>
      <c r="T101" s="32"/>
      <c r="U101" s="32"/>
      <c r="V101" s="32"/>
      <c r="W101" s="32"/>
      <c r="X101" s="32"/>
    </row>
    <row r="102" spans="1:24" x14ac:dyDescent="0.2">
      <c r="A102" s="64"/>
      <c r="B102" s="156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32"/>
      <c r="R102" s="32"/>
      <c r="S102" s="32"/>
      <c r="T102" s="32"/>
      <c r="U102" s="32"/>
      <c r="V102" s="32"/>
      <c r="W102" s="32"/>
      <c r="X102" s="32"/>
    </row>
    <row r="103" spans="1:24" x14ac:dyDescent="0.2">
      <c r="A103" s="64"/>
      <c r="B103" s="156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32"/>
      <c r="R103" s="32"/>
      <c r="S103" s="32"/>
      <c r="T103" s="32"/>
      <c r="U103" s="32"/>
      <c r="V103" s="32"/>
      <c r="W103" s="32"/>
      <c r="X103" s="32"/>
    </row>
    <row r="104" spans="1:24" x14ac:dyDescent="0.2">
      <c r="A104" s="64"/>
      <c r="B104" s="156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32"/>
      <c r="R104" s="32"/>
      <c r="S104" s="32"/>
      <c r="T104" s="32"/>
      <c r="U104" s="32"/>
      <c r="V104" s="32"/>
      <c r="W104" s="32"/>
      <c r="X104" s="32"/>
    </row>
    <row r="105" spans="1:24" x14ac:dyDescent="0.2">
      <c r="A105" s="64"/>
      <c r="B105" s="156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32"/>
      <c r="R105" s="32"/>
      <c r="S105" s="32"/>
      <c r="T105" s="32"/>
      <c r="U105" s="32"/>
      <c r="V105" s="32"/>
      <c r="W105" s="32"/>
      <c r="X105" s="32"/>
    </row>
    <row r="106" spans="1:24" x14ac:dyDescent="0.2">
      <c r="A106" s="64"/>
      <c r="B106" s="156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32"/>
      <c r="R106" s="32"/>
      <c r="S106" s="32"/>
      <c r="T106" s="32"/>
      <c r="U106" s="32"/>
      <c r="V106" s="32"/>
      <c r="W106" s="32"/>
      <c r="X106" s="32"/>
    </row>
    <row r="107" spans="1:24" x14ac:dyDescent="0.2">
      <c r="A107" s="64"/>
      <c r="B107" s="156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32"/>
      <c r="R107" s="32"/>
      <c r="S107" s="32"/>
      <c r="T107" s="32"/>
      <c r="U107" s="32"/>
      <c r="V107" s="32"/>
      <c r="W107" s="32"/>
      <c r="X107" s="32"/>
    </row>
    <row r="108" spans="1:24" x14ac:dyDescent="0.2">
      <c r="A108" s="64"/>
      <c r="B108" s="156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32"/>
      <c r="R108" s="32"/>
      <c r="S108" s="32"/>
      <c r="T108" s="32"/>
      <c r="U108" s="32"/>
      <c r="V108" s="32"/>
      <c r="W108" s="32"/>
      <c r="X108" s="32"/>
    </row>
    <row r="109" spans="1:24" x14ac:dyDescent="0.2">
      <c r="A109" s="64"/>
      <c r="B109" s="156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32"/>
      <c r="R109" s="32"/>
      <c r="S109" s="32"/>
      <c r="T109" s="32"/>
      <c r="U109" s="32"/>
      <c r="V109" s="32"/>
      <c r="W109" s="32"/>
      <c r="X109" s="32"/>
    </row>
    <row r="110" spans="1:24" x14ac:dyDescent="0.2">
      <c r="A110" s="64"/>
      <c r="B110" s="156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32"/>
      <c r="R110" s="32"/>
      <c r="S110" s="32"/>
      <c r="T110" s="32"/>
      <c r="U110" s="32"/>
      <c r="V110" s="32"/>
      <c r="W110" s="32"/>
      <c r="X110" s="32"/>
    </row>
    <row r="111" spans="1:24" x14ac:dyDescent="0.2">
      <c r="A111" s="120"/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64"/>
      <c r="P111" s="64"/>
      <c r="Q111" s="32"/>
      <c r="R111" s="32"/>
      <c r="S111" s="32"/>
      <c r="T111" s="32"/>
      <c r="U111" s="32"/>
      <c r="V111" s="32"/>
      <c r="W111" s="32"/>
      <c r="X111" s="32"/>
    </row>
    <row r="112" spans="1:24" x14ac:dyDescent="0.2">
      <c r="A112" s="120"/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64"/>
      <c r="P112" s="64"/>
      <c r="Q112" s="32"/>
      <c r="R112" s="32"/>
      <c r="S112" s="32"/>
      <c r="T112" s="32"/>
      <c r="U112" s="32"/>
      <c r="V112" s="32"/>
      <c r="W112" s="32"/>
      <c r="X112" s="32"/>
    </row>
    <row r="113" spans="1:24" x14ac:dyDescent="0.2">
      <c r="A113" s="120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64"/>
      <c r="P113" s="64"/>
      <c r="Q113" s="32"/>
      <c r="R113" s="32"/>
      <c r="S113" s="32"/>
      <c r="T113" s="32"/>
      <c r="U113" s="32"/>
      <c r="V113" s="32"/>
      <c r="W113" s="32"/>
      <c r="X113" s="32"/>
    </row>
    <row r="114" spans="1:24" x14ac:dyDescent="0.2">
      <c r="A114" s="120"/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64"/>
      <c r="P114" s="64"/>
      <c r="Q114" s="32"/>
      <c r="R114" s="32"/>
      <c r="S114" s="32"/>
      <c r="T114" s="32"/>
      <c r="U114" s="32"/>
      <c r="V114" s="32"/>
      <c r="W114" s="32"/>
      <c r="X114" s="32"/>
    </row>
    <row r="115" spans="1:24" s="174" customFormat="1" x14ac:dyDescent="0.2">
      <c r="A115" s="120"/>
      <c r="B115" s="121" t="str">
        <f>B5</f>
        <v>TP 2019</v>
      </c>
      <c r="C115" s="121" t="str">
        <f t="shared" ref="C115:M115" si="57">C5</f>
        <v>TP 2020</v>
      </c>
      <c r="D115" s="121">
        <f t="shared" si="57"/>
        <v>2021</v>
      </c>
      <c r="E115" s="121">
        <f t="shared" si="57"/>
        <v>2022</v>
      </c>
      <c r="F115" s="121">
        <f t="shared" si="57"/>
        <v>2023</v>
      </c>
      <c r="G115" s="121">
        <f t="shared" si="57"/>
        <v>2024</v>
      </c>
      <c r="H115" s="121">
        <f t="shared" si="57"/>
        <v>2025</v>
      </c>
      <c r="I115" s="121">
        <f t="shared" si="57"/>
        <v>2026</v>
      </c>
      <c r="J115" s="121">
        <f t="shared" si="57"/>
        <v>2027</v>
      </c>
      <c r="K115" s="121">
        <f t="shared" si="57"/>
        <v>2028</v>
      </c>
      <c r="L115" s="121">
        <f t="shared" si="57"/>
        <v>2029</v>
      </c>
      <c r="M115" s="121">
        <f t="shared" si="57"/>
        <v>2030</v>
      </c>
      <c r="N115" s="120"/>
      <c r="O115" s="175"/>
      <c r="P115" s="175"/>
      <c r="Q115" s="176"/>
      <c r="R115" s="176"/>
      <c r="S115" s="176"/>
      <c r="T115" s="176"/>
      <c r="U115" s="176"/>
      <c r="V115" s="176"/>
      <c r="W115" s="176"/>
      <c r="X115" s="176"/>
    </row>
    <row r="116" spans="1:24" s="174" customFormat="1" x14ac:dyDescent="0.2">
      <c r="A116" s="120" t="s">
        <v>35</v>
      </c>
      <c r="B116" s="120">
        <f t="shared" ref="B116:M116" si="58">B63</f>
        <v>920.93598873823385</v>
      </c>
      <c r="C116" s="120">
        <f t="shared" si="58"/>
        <v>1172.7709031656002</v>
      </c>
      <c r="D116" s="120">
        <f t="shared" si="58"/>
        <v>1119.7526880930977</v>
      </c>
      <c r="E116" s="120">
        <f t="shared" si="58"/>
        <v>1050.0272502901237</v>
      </c>
      <c r="F116" s="120">
        <f t="shared" si="58"/>
        <v>987.68570449397339</v>
      </c>
      <c r="G116" s="120">
        <f t="shared" si="58"/>
        <v>910.43518074609244</v>
      </c>
      <c r="H116" s="120">
        <f t="shared" si="58"/>
        <v>831.43856224470608</v>
      </c>
      <c r="I116" s="120">
        <f t="shared" si="58"/>
        <v>751.57448587071974</v>
      </c>
      <c r="J116" s="120">
        <f t="shared" si="58"/>
        <v>671.14811961171199</v>
      </c>
      <c r="K116" s="120">
        <f t="shared" si="58"/>
        <v>590.48398751550565</v>
      </c>
      <c r="L116" s="120">
        <f t="shared" si="58"/>
        <v>509.90621050371385</v>
      </c>
      <c r="M116" s="120">
        <f t="shared" si="58"/>
        <v>429.79273930953093</v>
      </c>
      <c r="N116" s="120"/>
      <c r="O116" s="175"/>
      <c r="P116" s="175"/>
      <c r="Q116" s="176"/>
      <c r="R116" s="176"/>
      <c r="S116" s="176"/>
      <c r="T116" s="176"/>
      <c r="U116" s="176"/>
      <c r="V116" s="176"/>
      <c r="W116" s="176"/>
      <c r="X116" s="176"/>
    </row>
    <row r="117" spans="1:24" s="174" customFormat="1" x14ac:dyDescent="0.2">
      <c r="A117" s="120" t="s">
        <v>36</v>
      </c>
      <c r="B117" s="120">
        <f>B61</f>
        <v>3351.8961649435309</v>
      </c>
      <c r="C117" s="120">
        <f t="shared" ref="C117:M117" si="59">C61</f>
        <v>3458.3115902424274</v>
      </c>
      <c r="D117" s="120">
        <f t="shared" si="59"/>
        <v>3496.473031203444</v>
      </c>
      <c r="E117" s="120">
        <f t="shared" si="59"/>
        <v>3674.1054292477302</v>
      </c>
      <c r="F117" s="120">
        <f t="shared" si="59"/>
        <v>3764.5681907251478</v>
      </c>
      <c r="G117" s="120">
        <f t="shared" si="59"/>
        <v>3979.438991525763</v>
      </c>
      <c r="H117" s="120">
        <f t="shared" si="59"/>
        <v>4184.7939648319107</v>
      </c>
      <c r="I117" s="120">
        <f t="shared" si="59"/>
        <v>4373.9256746905039</v>
      </c>
      <c r="J117" s="120">
        <f t="shared" si="59"/>
        <v>4546.0682777344737</v>
      </c>
      <c r="K117" s="120">
        <f t="shared" si="59"/>
        <v>4700.4606520559892</v>
      </c>
      <c r="L117" s="120">
        <f t="shared" si="59"/>
        <v>4836.1916590088058</v>
      </c>
      <c r="M117" s="120">
        <f t="shared" si="59"/>
        <v>4952.6889423803505</v>
      </c>
      <c r="N117" s="120"/>
      <c r="O117" s="175"/>
      <c r="P117" s="175"/>
      <c r="Q117" s="176"/>
      <c r="R117" s="176"/>
      <c r="S117" s="176"/>
      <c r="T117" s="176"/>
      <c r="U117" s="176"/>
      <c r="V117" s="176"/>
      <c r="W117" s="176"/>
      <c r="X117" s="176"/>
    </row>
    <row r="118" spans="1:24" s="174" customFormat="1" x14ac:dyDescent="0.2">
      <c r="A118" s="120" t="s">
        <v>332</v>
      </c>
      <c r="B118" s="120">
        <f>B117-B116</f>
        <v>2430.9601762052971</v>
      </c>
      <c r="C118" s="120">
        <f t="shared" ref="C118:M118" si="60">C117-C116</f>
        <v>2285.5406870768275</v>
      </c>
      <c r="D118" s="120">
        <f t="shared" si="60"/>
        <v>2376.7203431103462</v>
      </c>
      <c r="E118" s="120">
        <f t="shared" si="60"/>
        <v>2624.0781789576067</v>
      </c>
      <c r="F118" s="120">
        <f t="shared" si="60"/>
        <v>2776.8824862311744</v>
      </c>
      <c r="G118" s="120">
        <f t="shared" si="60"/>
        <v>3069.0038107796704</v>
      </c>
      <c r="H118" s="120">
        <f t="shared" si="60"/>
        <v>3353.3554025872045</v>
      </c>
      <c r="I118" s="120">
        <f t="shared" si="60"/>
        <v>3622.3511888197841</v>
      </c>
      <c r="J118" s="120">
        <f t="shared" si="60"/>
        <v>3874.9201581227617</v>
      </c>
      <c r="K118" s="120">
        <f t="shared" si="60"/>
        <v>4109.9766645404834</v>
      </c>
      <c r="L118" s="120">
        <f t="shared" si="60"/>
        <v>4326.2854485050921</v>
      </c>
      <c r="M118" s="120">
        <f t="shared" si="60"/>
        <v>4522.8962030708199</v>
      </c>
      <c r="N118" s="120"/>
      <c r="O118" s="175"/>
      <c r="P118" s="175"/>
      <c r="Q118" s="176"/>
      <c r="R118" s="176"/>
      <c r="S118" s="176"/>
      <c r="T118" s="176"/>
      <c r="U118" s="176"/>
      <c r="V118" s="176"/>
      <c r="W118" s="176"/>
      <c r="X118" s="176"/>
    </row>
    <row r="119" spans="1:24" x14ac:dyDescent="0.2">
      <c r="A119" s="120"/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64"/>
      <c r="P119" s="64"/>
      <c r="Q119" s="32"/>
      <c r="R119" s="32"/>
      <c r="S119" s="32"/>
      <c r="T119" s="32"/>
      <c r="U119" s="32"/>
      <c r="V119" s="32"/>
      <c r="W119" s="32"/>
      <c r="X119" s="32"/>
    </row>
    <row r="120" spans="1:24" x14ac:dyDescent="0.2">
      <c r="A120" s="120"/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64"/>
      <c r="P120" s="64"/>
      <c r="Q120" s="32"/>
      <c r="R120" s="32"/>
      <c r="S120" s="32"/>
      <c r="T120" s="32"/>
      <c r="U120" s="32"/>
      <c r="V120" s="32"/>
      <c r="W120" s="32"/>
      <c r="X120" s="32"/>
    </row>
    <row r="121" spans="1:24" x14ac:dyDescent="0.2">
      <c r="A121" s="120"/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64"/>
      <c r="P121" s="64"/>
      <c r="Q121" s="32"/>
      <c r="R121" s="32"/>
      <c r="S121" s="32"/>
      <c r="T121" s="32"/>
      <c r="U121" s="32"/>
      <c r="V121" s="32"/>
      <c r="W121" s="32"/>
      <c r="X121" s="32"/>
    </row>
    <row r="122" spans="1:24" x14ac:dyDescent="0.2">
      <c r="A122" s="64"/>
      <c r="B122" s="156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32"/>
      <c r="R122" s="32"/>
      <c r="S122" s="32"/>
      <c r="T122" s="32"/>
      <c r="U122" s="32"/>
      <c r="V122" s="32"/>
      <c r="W122" s="32"/>
      <c r="X122" s="32"/>
    </row>
    <row r="123" spans="1:24" x14ac:dyDescent="0.2">
      <c r="A123" s="64"/>
      <c r="B123" s="156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32"/>
      <c r="R123" s="32"/>
      <c r="S123" s="32"/>
      <c r="T123" s="32"/>
      <c r="U123" s="32"/>
      <c r="V123" s="32"/>
      <c r="W123" s="32"/>
      <c r="X123" s="32"/>
    </row>
    <row r="124" spans="1:24" x14ac:dyDescent="0.2">
      <c r="A124" s="64"/>
      <c r="B124" s="156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32"/>
      <c r="R124" s="32"/>
      <c r="S124" s="32"/>
      <c r="T124" s="32"/>
      <c r="U124" s="32"/>
      <c r="V124" s="32"/>
      <c r="W124" s="32"/>
      <c r="X124" s="32"/>
    </row>
    <row r="125" spans="1:24" x14ac:dyDescent="0.2">
      <c r="A125" s="64"/>
      <c r="B125" s="156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32"/>
      <c r="R125" s="32"/>
      <c r="S125" s="32"/>
      <c r="T125" s="32"/>
      <c r="U125" s="32"/>
      <c r="V125" s="32"/>
      <c r="W125" s="32"/>
      <c r="X125" s="32"/>
    </row>
    <row r="126" spans="1:24" x14ac:dyDescent="0.2">
      <c r="A126" s="64"/>
      <c r="B126" s="156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32"/>
      <c r="R126" s="32"/>
      <c r="S126" s="32"/>
      <c r="T126" s="32"/>
      <c r="U126" s="32"/>
      <c r="V126" s="32"/>
      <c r="W126" s="32"/>
      <c r="X126" s="32"/>
    </row>
    <row r="127" spans="1:24" x14ac:dyDescent="0.2">
      <c r="A127" s="64"/>
      <c r="B127" s="156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32"/>
      <c r="R127" s="32"/>
      <c r="S127" s="32"/>
      <c r="T127" s="32"/>
      <c r="U127" s="32"/>
      <c r="V127" s="32"/>
      <c r="W127" s="32"/>
      <c r="X127" s="32"/>
    </row>
    <row r="128" spans="1:24" x14ac:dyDescent="0.2">
      <c r="A128" s="64"/>
      <c r="B128" s="156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32"/>
      <c r="R128" s="32"/>
      <c r="S128" s="32"/>
      <c r="T128" s="32"/>
      <c r="U128" s="32"/>
      <c r="V128" s="32"/>
      <c r="W128" s="32"/>
      <c r="X128" s="32"/>
    </row>
    <row r="129" spans="1:24" x14ac:dyDescent="0.2">
      <c r="A129" s="64"/>
      <c r="B129" s="156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32"/>
      <c r="R129" s="32"/>
      <c r="S129" s="32"/>
      <c r="T129" s="32"/>
      <c r="U129" s="32"/>
      <c r="V129" s="32"/>
      <c r="W129" s="32"/>
      <c r="X129" s="32"/>
    </row>
    <row r="130" spans="1:24" x14ac:dyDescent="0.2">
      <c r="A130" s="64"/>
      <c r="B130" s="156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32"/>
      <c r="R130" s="32"/>
      <c r="S130" s="32"/>
      <c r="T130" s="32"/>
      <c r="U130" s="32"/>
      <c r="V130" s="32"/>
      <c r="W130" s="32"/>
      <c r="X130" s="32"/>
    </row>
    <row r="131" spans="1:24" x14ac:dyDescent="0.2">
      <c r="A131" s="64"/>
      <c r="B131" s="156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32"/>
      <c r="R131" s="32"/>
      <c r="S131" s="32"/>
      <c r="T131" s="32"/>
      <c r="U131" s="32"/>
      <c r="V131" s="32"/>
      <c r="W131" s="32"/>
      <c r="X131" s="32"/>
    </row>
    <row r="132" spans="1:24" x14ac:dyDescent="0.2">
      <c r="A132" s="64"/>
      <c r="B132" s="156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32"/>
      <c r="R132" s="32"/>
      <c r="S132" s="32"/>
      <c r="T132" s="32"/>
      <c r="U132" s="32"/>
      <c r="V132" s="32"/>
      <c r="W132" s="32"/>
      <c r="X132" s="32"/>
    </row>
    <row r="133" spans="1:24" x14ac:dyDescent="0.2">
      <c r="A133" s="64"/>
      <c r="B133" s="156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32"/>
      <c r="R133" s="32"/>
      <c r="S133" s="32"/>
      <c r="T133" s="32"/>
      <c r="U133" s="32"/>
      <c r="V133" s="32"/>
      <c r="W133" s="32"/>
      <c r="X133" s="32"/>
    </row>
    <row r="134" spans="1:24" x14ac:dyDescent="0.2">
      <c r="A134" s="18"/>
      <c r="B134" s="27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32"/>
      <c r="R134" s="32"/>
      <c r="S134" s="32"/>
      <c r="T134" s="32"/>
      <c r="U134" s="32"/>
      <c r="V134" s="32"/>
      <c r="W134" s="32"/>
      <c r="X134" s="32"/>
    </row>
    <row r="135" spans="1:24" x14ac:dyDescent="0.2">
      <c r="A135" s="18"/>
      <c r="B135" s="27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32"/>
      <c r="R135" s="32"/>
      <c r="S135" s="32"/>
      <c r="T135" s="32"/>
      <c r="U135" s="32"/>
      <c r="V135" s="32"/>
      <c r="W135" s="32"/>
      <c r="X135" s="32"/>
    </row>
    <row r="136" spans="1:24" x14ac:dyDescent="0.2">
      <c r="A136" s="18"/>
      <c r="B136" s="27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32"/>
      <c r="R136" s="32"/>
      <c r="S136" s="32"/>
      <c r="T136" s="32"/>
      <c r="U136" s="32"/>
      <c r="V136" s="32"/>
      <c r="W136" s="32"/>
      <c r="X136" s="32"/>
    </row>
    <row r="137" spans="1:24" x14ac:dyDescent="0.2">
      <c r="A137" s="18"/>
      <c r="B137" s="27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32"/>
      <c r="R137" s="32"/>
      <c r="S137" s="32"/>
      <c r="T137" s="32"/>
      <c r="U137" s="32"/>
      <c r="V137" s="32"/>
      <c r="W137" s="32"/>
      <c r="X137" s="32"/>
    </row>
    <row r="138" spans="1:24" x14ac:dyDescent="0.2">
      <c r="A138" s="18"/>
      <c r="B138" s="27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32"/>
      <c r="R138" s="32"/>
      <c r="S138" s="32"/>
      <c r="T138" s="32"/>
      <c r="U138" s="32"/>
      <c r="V138" s="32"/>
      <c r="W138" s="32"/>
      <c r="X138" s="32"/>
    </row>
    <row r="139" spans="1:24" x14ac:dyDescent="0.2">
      <c r="A139" s="18"/>
      <c r="B139" s="27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32"/>
      <c r="R139" s="32"/>
      <c r="S139" s="32"/>
      <c r="T139" s="32"/>
      <c r="U139" s="32"/>
      <c r="V139" s="32"/>
      <c r="W139" s="32"/>
      <c r="X139" s="32"/>
    </row>
    <row r="140" spans="1:24" x14ac:dyDescent="0.2">
      <c r="A140" s="18"/>
      <c r="B140" s="27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32"/>
      <c r="R140" s="32"/>
      <c r="S140" s="32"/>
      <c r="T140" s="32"/>
      <c r="U140" s="32"/>
      <c r="V140" s="32"/>
      <c r="W140" s="32"/>
      <c r="X140" s="32"/>
    </row>
    <row r="141" spans="1:24" x14ac:dyDescent="0.2">
      <c r="A141" s="18"/>
      <c r="B141" s="27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32"/>
      <c r="R141" s="32"/>
      <c r="S141" s="32"/>
      <c r="T141" s="32"/>
      <c r="U141" s="32"/>
      <c r="V141" s="32"/>
      <c r="W141" s="32"/>
      <c r="X141" s="32"/>
    </row>
    <row r="142" spans="1:24" x14ac:dyDescent="0.2">
      <c r="A142" s="18"/>
      <c r="B142" s="27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32"/>
      <c r="R142" s="32"/>
      <c r="S142" s="32"/>
      <c r="T142" s="32"/>
      <c r="U142" s="32"/>
      <c r="V142" s="32"/>
      <c r="W142" s="32"/>
      <c r="X142" s="32"/>
    </row>
    <row r="143" spans="1:24" x14ac:dyDescent="0.2">
      <c r="A143" s="18"/>
      <c r="B143" s="27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32"/>
      <c r="R143" s="32"/>
      <c r="S143" s="32"/>
      <c r="T143" s="32"/>
      <c r="U143" s="32"/>
      <c r="V143" s="32"/>
      <c r="W143" s="32"/>
      <c r="X143" s="32"/>
    </row>
    <row r="144" spans="1:24" x14ac:dyDescent="0.2">
      <c r="A144" s="18"/>
      <c r="B144" s="27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32"/>
      <c r="R144" s="32"/>
      <c r="S144" s="32"/>
      <c r="T144" s="32"/>
      <c r="U144" s="32"/>
      <c r="V144" s="32"/>
      <c r="W144" s="32"/>
      <c r="X144" s="32"/>
    </row>
    <row r="145" spans="1:24" x14ac:dyDescent="0.2">
      <c r="A145" s="18"/>
      <c r="B145" s="27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32"/>
      <c r="R145" s="32"/>
      <c r="S145" s="32"/>
      <c r="T145" s="32"/>
      <c r="U145" s="32"/>
      <c r="V145" s="32"/>
      <c r="W145" s="32"/>
      <c r="X145" s="32"/>
    </row>
    <row r="146" spans="1:24" x14ac:dyDescent="0.2">
      <c r="A146" s="18"/>
      <c r="B146" s="27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32"/>
      <c r="R146" s="32"/>
      <c r="S146" s="32"/>
      <c r="T146" s="32"/>
      <c r="U146" s="32"/>
      <c r="V146" s="32"/>
      <c r="W146" s="32"/>
      <c r="X146" s="32"/>
    </row>
    <row r="147" spans="1:24" x14ac:dyDescent="0.2">
      <c r="A147" s="18"/>
      <c r="B147" s="27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32"/>
      <c r="R147" s="32"/>
      <c r="S147" s="32"/>
      <c r="T147" s="32"/>
      <c r="U147" s="32"/>
      <c r="V147" s="32"/>
      <c r="W147" s="32"/>
      <c r="X147" s="32"/>
    </row>
    <row r="148" spans="1:24" x14ac:dyDescent="0.2">
      <c r="A148" s="18"/>
      <c r="B148" s="27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32"/>
      <c r="R148" s="32"/>
      <c r="S148" s="32"/>
      <c r="T148" s="32"/>
      <c r="U148" s="32"/>
      <c r="V148" s="32"/>
      <c r="W148" s="32"/>
      <c r="X148" s="32"/>
    </row>
    <row r="149" spans="1:24" x14ac:dyDescent="0.2">
      <c r="A149" s="18"/>
      <c r="B149" s="2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32"/>
      <c r="R149" s="32"/>
      <c r="S149" s="32"/>
      <c r="T149" s="32"/>
      <c r="U149" s="32"/>
      <c r="V149" s="32"/>
      <c r="W149" s="32"/>
      <c r="X149" s="32"/>
    </row>
    <row r="150" spans="1:24" x14ac:dyDescent="0.2">
      <c r="A150" s="18"/>
      <c r="B150" s="27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32"/>
      <c r="R150" s="32"/>
      <c r="S150" s="32"/>
      <c r="T150" s="32"/>
      <c r="U150" s="32"/>
      <c r="V150" s="32"/>
      <c r="W150" s="32"/>
      <c r="X150" s="32"/>
    </row>
    <row r="151" spans="1:24" x14ac:dyDescent="0.2">
      <c r="A151" s="18"/>
      <c r="B151" s="2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32"/>
      <c r="R151" s="32"/>
      <c r="S151" s="32"/>
      <c r="T151" s="32"/>
      <c r="U151" s="32"/>
      <c r="V151" s="32"/>
      <c r="W151" s="32"/>
      <c r="X151" s="32"/>
    </row>
    <row r="152" spans="1:24" x14ac:dyDescent="0.2">
      <c r="A152" s="18"/>
      <c r="B152" s="2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32"/>
      <c r="R152" s="32"/>
      <c r="S152" s="32"/>
      <c r="T152" s="32"/>
      <c r="U152" s="32"/>
      <c r="V152" s="32"/>
      <c r="W152" s="32"/>
      <c r="X152" s="32"/>
    </row>
    <row r="153" spans="1:24" x14ac:dyDescent="0.2">
      <c r="A153" s="18"/>
      <c r="B153" s="2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32"/>
      <c r="R153" s="32"/>
      <c r="S153" s="32"/>
      <c r="T153" s="32"/>
      <c r="U153" s="32"/>
      <c r="V153" s="32"/>
      <c r="W153" s="32"/>
      <c r="X153" s="32"/>
    </row>
    <row r="154" spans="1:24" x14ac:dyDescent="0.2">
      <c r="A154" s="18"/>
      <c r="B154" s="2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32"/>
      <c r="R154" s="32"/>
      <c r="S154" s="32"/>
      <c r="T154" s="32"/>
      <c r="U154" s="32"/>
      <c r="V154" s="32"/>
      <c r="W154" s="32"/>
      <c r="X154" s="32"/>
    </row>
    <row r="155" spans="1:24" x14ac:dyDescent="0.2">
      <c r="A155" s="18"/>
      <c r="B155" s="2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32"/>
      <c r="R155" s="32"/>
      <c r="S155" s="32"/>
      <c r="T155" s="32"/>
      <c r="U155" s="32"/>
      <c r="V155" s="32"/>
      <c r="W155" s="32"/>
      <c r="X155" s="32"/>
    </row>
    <row r="156" spans="1:24" x14ac:dyDescent="0.2">
      <c r="A156" s="18"/>
      <c r="B156" s="27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32"/>
      <c r="R156" s="32"/>
      <c r="S156" s="32"/>
      <c r="T156" s="32"/>
      <c r="U156" s="32"/>
      <c r="V156" s="32"/>
      <c r="W156" s="32"/>
      <c r="X156" s="32"/>
    </row>
    <row r="157" spans="1:24" x14ac:dyDescent="0.2">
      <c r="A157" s="18"/>
      <c r="B157" s="27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32"/>
      <c r="R157" s="32"/>
      <c r="S157" s="32"/>
      <c r="T157" s="32"/>
      <c r="U157" s="32"/>
      <c r="V157" s="32"/>
      <c r="W157" s="32"/>
      <c r="X157" s="32"/>
    </row>
    <row r="158" spans="1:24" x14ac:dyDescent="0.2">
      <c r="A158" s="18"/>
      <c r="B158" s="27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32"/>
      <c r="R158" s="32"/>
      <c r="S158" s="32"/>
      <c r="T158" s="32"/>
      <c r="U158" s="32"/>
      <c r="V158" s="32"/>
      <c r="W158" s="32"/>
      <c r="X158" s="32"/>
    </row>
    <row r="159" spans="1:24" x14ac:dyDescent="0.2">
      <c r="A159" s="18"/>
      <c r="B159" s="2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32"/>
      <c r="R159" s="32"/>
      <c r="S159" s="32"/>
      <c r="T159" s="32"/>
      <c r="U159" s="32"/>
      <c r="V159" s="32"/>
      <c r="W159" s="32"/>
      <c r="X159" s="32"/>
    </row>
    <row r="160" spans="1:24" x14ac:dyDescent="0.2">
      <c r="A160" s="18"/>
      <c r="B160" s="2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32"/>
      <c r="R160" s="32"/>
      <c r="S160" s="32"/>
      <c r="T160" s="32"/>
      <c r="U160" s="32"/>
      <c r="V160" s="32"/>
      <c r="W160" s="32"/>
      <c r="X160" s="32"/>
    </row>
  </sheetData>
  <sheetProtection selectLockedCells="1"/>
  <phoneticPr fontId="0" type="noConversion"/>
  <pageMargins left="0.59055118110236227" right="0.59055118110236227" top="0.59055118110236227" bottom="0.39370078740157483" header="0.51181102362204722" footer="0.51181102362204722"/>
  <pageSetup scale="80" orientation="landscape" r:id="rId1"/>
  <headerFooter alignWithMargins="0"/>
  <ignoredErrors>
    <ignoredError sqref="C30 G15" formula="1"/>
    <ignoredError sqref="E30:F30 G17 H30:M30 H22:I22 G22 G30 H15:M15 F22 K22:M22" formula="1" unlockedFormula="1"/>
    <ignoredError sqref="E9 D18:M18 D12:F12 F25:G25 D8:E8 H8:M8 D26:F26 H26:M27 D19:E19 D35:M35 J72:M72 J73:M73 I74:M74 J75:M75 H16:M17 D21:F21 H21:M21 D23:F23 H23:M23 D24:F24 H24:M24 D31:F31 H31:M31 D32:F32 H32:M32 D33:F33 H33:M33 D42:F42 D41:F41 H41:M41 D48:M51 D44:F44 H44:M44 D45:F45 H45:M45 D46:F46 H46:M46 D57:M57 D56:F56 H56:M56 H42:M43 G42:G43 G41 G44:G46 H25:M25 G21 G31:G33 G23:G24 G26 D10:E10 H10:M10 D16:F17 E15 E34:M34 D53:M54 E52:M52 E43:F43 E40:M40 E55:M55 D59:M61 D58:G58 I58:M58 G20:H20 D68:F68 K68:M68 F11 D37:M39 E36:M36 D63:M67 E62:M62 J20:M20 E27:F27 H68 G9:M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Drop Down 4">
              <controlPr locked="0" defaultSize="0" autoLine="0" autoPict="0">
                <anchor moveWithCells="1">
                  <from>
                    <xdr:col>7</xdr:col>
                    <xdr:colOff>57150</xdr:colOff>
                    <xdr:row>1</xdr:row>
                    <xdr:rowOff>57150</xdr:rowOff>
                  </from>
                  <to>
                    <xdr:col>8</xdr:col>
                    <xdr:colOff>565150</xdr:colOff>
                    <xdr:row>2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300"/>
  <sheetViews>
    <sheetView showGridLine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33203125" defaultRowHeight="10.5" x14ac:dyDescent="0.25"/>
  <cols>
    <col min="1" max="1" width="4.6640625" style="179" customWidth="1"/>
    <col min="2" max="2" width="12.33203125" style="181" customWidth="1"/>
    <col min="3" max="3" width="11" style="205" bestFit="1" customWidth="1"/>
    <col min="4" max="4" width="14.33203125" style="181" bestFit="1" customWidth="1"/>
    <col min="5" max="5" width="21.77734375" style="180" bestFit="1" customWidth="1"/>
    <col min="6" max="6" width="1.109375" style="181" customWidth="1"/>
    <col min="7" max="7" width="14.77734375" style="181" bestFit="1" customWidth="1"/>
    <col min="8" max="8" width="14" style="181" bestFit="1" customWidth="1"/>
    <col min="9" max="9" width="11" style="181" bestFit="1" customWidth="1"/>
    <col min="10" max="10" width="12.44140625" style="181" bestFit="1" customWidth="1"/>
    <col min="11" max="11" width="10.33203125" style="181" customWidth="1"/>
    <col min="12" max="12" width="11.77734375" style="181" customWidth="1"/>
    <col min="13" max="13" width="10.44140625" style="181" customWidth="1"/>
    <col min="14" max="14" width="11.77734375" style="181" customWidth="1"/>
    <col min="15" max="15" width="10.33203125" style="181" bestFit="1" customWidth="1"/>
    <col min="16" max="18" width="9.33203125" style="181"/>
    <col min="19" max="19" width="10.6640625" style="181" customWidth="1"/>
    <col min="20" max="21" width="9.33203125" style="181"/>
    <col min="22" max="22" width="10.33203125" style="181" bestFit="1" customWidth="1"/>
    <col min="23" max="23" width="9.44140625" style="181" bestFit="1" customWidth="1"/>
    <col min="24" max="24" width="15.44140625" style="181" bestFit="1" customWidth="1"/>
    <col min="25" max="27" width="9.33203125" style="181"/>
    <col min="28" max="28" width="21.6640625" style="181" bestFit="1" customWidth="1"/>
    <col min="29" max="29" width="7.33203125" style="181" customWidth="1"/>
    <col min="30" max="30" width="20.109375" style="181" bestFit="1" customWidth="1"/>
    <col min="31" max="31" width="9.33203125" style="181"/>
    <col min="32" max="32" width="0" style="181" hidden="1" customWidth="1"/>
    <col min="33" max="33" width="14.33203125" style="181" customWidth="1"/>
    <col min="34" max="34" width="19.44140625" style="181" bestFit="1" customWidth="1"/>
    <col min="35" max="35" width="9.33203125" style="181"/>
    <col min="36" max="36" width="14.6640625" style="182" customWidth="1"/>
    <col min="37" max="37" width="9.33203125" style="181"/>
    <col min="38" max="38" width="16.109375" style="181" bestFit="1" customWidth="1"/>
    <col min="39" max="40" width="9.33203125" style="181"/>
    <col min="41" max="41" width="10.44140625" style="181" bestFit="1" customWidth="1"/>
    <col min="42" max="42" width="14.33203125" style="181" bestFit="1" customWidth="1"/>
    <col min="43" max="43" width="9.6640625" style="181" customWidth="1"/>
    <col min="44" max="44" width="9.6640625" style="181" bestFit="1" customWidth="1"/>
    <col min="45" max="45" width="14.77734375" style="181" bestFit="1" customWidth="1"/>
    <col min="46" max="46" width="14" style="181" bestFit="1" customWidth="1"/>
    <col min="47" max="47" width="10.6640625" style="181" customWidth="1"/>
    <col min="48" max="48" width="12.44140625" style="181" bestFit="1" customWidth="1"/>
    <col min="49" max="49" width="11.44140625" style="181" bestFit="1" customWidth="1"/>
    <col min="50" max="50" width="12.44140625" style="181" bestFit="1" customWidth="1"/>
    <col min="51" max="51" width="11.88671875" style="181" customWidth="1"/>
    <col min="52" max="52" width="11.33203125" style="181" bestFit="1" customWidth="1"/>
    <col min="53" max="54" width="9.33203125" style="181"/>
    <col min="55" max="55" width="15.5546875" style="181" bestFit="1" customWidth="1"/>
    <col min="56" max="56" width="14.77734375" style="181" bestFit="1" customWidth="1"/>
    <col min="57" max="57" width="11.33203125" style="181" bestFit="1" customWidth="1"/>
    <col min="58" max="59" width="9.33203125" style="181"/>
    <col min="60" max="60" width="10.33203125" style="181" bestFit="1" customWidth="1"/>
    <col min="61" max="61" width="9.44140625" style="181" bestFit="1" customWidth="1"/>
    <col min="62" max="62" width="15.44140625" style="181" bestFit="1" customWidth="1"/>
    <col min="63" max="65" width="9.33203125" style="181"/>
    <col min="66" max="66" width="21.6640625" style="181" bestFit="1" customWidth="1"/>
    <col min="67" max="67" width="7.33203125" style="181" customWidth="1"/>
    <col min="68" max="68" width="20.109375" style="181" bestFit="1" customWidth="1"/>
    <col min="69" max="69" width="9.33203125" style="181"/>
    <col min="70" max="70" width="0" style="181" hidden="1" customWidth="1"/>
    <col min="71" max="71" width="3.77734375" style="181" customWidth="1"/>
    <col min="72" max="72" width="19.44140625" style="181" bestFit="1" customWidth="1"/>
    <col min="73" max="73" width="9.33203125" style="181"/>
    <col min="74" max="74" width="14.77734375" style="182" customWidth="1"/>
    <col min="75" max="75" width="9.33203125" style="181"/>
    <col min="76" max="76" width="14.6640625" style="181" customWidth="1"/>
    <col min="77" max="78" width="9.33203125" style="181"/>
    <col min="79" max="79" width="9.33203125" style="181" customWidth="1"/>
    <col min="80" max="80" width="12.44140625" style="339" customWidth="1"/>
    <col min="81" max="82" width="11.33203125" style="377" customWidth="1"/>
    <col min="83" max="83" width="7.109375" style="377" customWidth="1"/>
    <col min="84" max="84" width="5.6640625" style="181" customWidth="1"/>
    <col min="85" max="85" width="9.44140625" style="181" customWidth="1"/>
    <col min="86" max="86" width="5.6640625" style="183" customWidth="1"/>
    <col min="87" max="87" width="10.33203125" style="181" customWidth="1"/>
    <col min="88" max="88" width="0.44140625" style="181" customWidth="1"/>
    <col min="89" max="89" width="15.33203125" style="180" bestFit="1" customWidth="1"/>
    <col min="90" max="92" width="15.33203125" style="5" bestFit="1" customWidth="1"/>
    <col min="93" max="93" width="15.44140625" style="5" customWidth="1"/>
    <col min="94" max="94" width="13.44140625" style="5" bestFit="1" customWidth="1"/>
    <col min="95" max="95" width="2.6640625" style="181" customWidth="1"/>
    <col min="96" max="96" width="19.6640625" style="181" bestFit="1" customWidth="1"/>
    <col min="97" max="97" width="14.109375" style="181" bestFit="1" customWidth="1"/>
    <col min="98" max="98" width="21.33203125" style="183" bestFit="1" customWidth="1"/>
    <col min="99" max="99" width="21.33203125" style="171" bestFit="1" customWidth="1"/>
    <col min="100" max="100" width="22.33203125" style="183" bestFit="1" customWidth="1"/>
    <col min="101" max="101" width="9.33203125" style="171"/>
    <col min="102" max="102" width="9.33203125" style="385"/>
    <col min="103" max="103" width="10.33203125" style="385" bestFit="1" customWidth="1"/>
    <col min="104" max="107" width="9.33203125" style="385"/>
    <col min="108" max="16384" width="9.33203125" style="347"/>
  </cols>
  <sheetData>
    <row r="1" spans="1:112" s="171" customFormat="1" ht="13" x14ac:dyDescent="0.3">
      <c r="A1" s="179"/>
      <c r="B1" s="180"/>
      <c r="C1" s="204">
        <v>2019</v>
      </c>
      <c r="D1" s="181">
        <v>41</v>
      </c>
      <c r="E1" s="180">
        <v>42</v>
      </c>
      <c r="F1" s="181">
        <v>43</v>
      </c>
      <c r="G1" s="181">
        <v>44</v>
      </c>
      <c r="H1" s="181">
        <v>45</v>
      </c>
      <c r="I1" s="181">
        <v>46</v>
      </c>
      <c r="J1" s="181">
        <v>47</v>
      </c>
      <c r="K1" s="181">
        <v>48</v>
      </c>
      <c r="L1" s="181">
        <v>49</v>
      </c>
      <c r="M1" s="181">
        <v>50</v>
      </c>
      <c r="N1" s="181">
        <v>51</v>
      </c>
      <c r="O1" s="181">
        <v>52</v>
      </c>
      <c r="P1" s="181">
        <v>53</v>
      </c>
      <c r="Q1" s="181">
        <v>54</v>
      </c>
      <c r="R1" s="181">
        <v>55</v>
      </c>
      <c r="S1" s="181">
        <v>56</v>
      </c>
      <c r="T1" s="181">
        <v>57</v>
      </c>
      <c r="U1" s="181">
        <v>58</v>
      </c>
      <c r="V1" s="181">
        <v>59</v>
      </c>
      <c r="W1" s="181">
        <v>60</v>
      </c>
      <c r="X1" s="181">
        <v>61</v>
      </c>
      <c r="Y1" s="181">
        <v>62</v>
      </c>
      <c r="Z1" s="181">
        <v>63</v>
      </c>
      <c r="AA1" s="181">
        <v>64</v>
      </c>
      <c r="AB1" s="181">
        <v>65</v>
      </c>
      <c r="AC1" s="181">
        <v>66</v>
      </c>
      <c r="AD1" s="181">
        <v>67</v>
      </c>
      <c r="AE1" s="181">
        <v>68</v>
      </c>
      <c r="AF1" s="181">
        <v>69</v>
      </c>
      <c r="AG1" s="181">
        <v>70</v>
      </c>
      <c r="AH1" s="181">
        <v>71</v>
      </c>
      <c r="AI1" s="181">
        <v>72</v>
      </c>
      <c r="AJ1" s="182">
        <v>73</v>
      </c>
      <c r="AK1" s="181">
        <v>74</v>
      </c>
      <c r="AL1" s="181">
        <v>75</v>
      </c>
      <c r="AM1" s="181">
        <v>76</v>
      </c>
      <c r="AN1" s="181">
        <v>77</v>
      </c>
      <c r="AO1" s="452">
        <v>2020</v>
      </c>
      <c r="AP1" s="181">
        <v>41</v>
      </c>
      <c r="AQ1" s="181">
        <v>42</v>
      </c>
      <c r="AR1" s="181">
        <v>43</v>
      </c>
      <c r="AS1" s="181">
        <v>44</v>
      </c>
      <c r="AT1" s="181">
        <v>45</v>
      </c>
      <c r="AU1" s="181">
        <v>46</v>
      </c>
      <c r="AV1" s="181">
        <v>47</v>
      </c>
      <c r="AW1" s="181">
        <v>48</v>
      </c>
      <c r="AX1" s="181">
        <v>49</v>
      </c>
      <c r="AY1" s="181">
        <v>50</v>
      </c>
      <c r="AZ1" s="181">
        <v>51</v>
      </c>
      <c r="BA1" s="181">
        <v>52</v>
      </c>
      <c r="BB1" s="181">
        <v>53</v>
      </c>
      <c r="BC1" s="181">
        <v>54</v>
      </c>
      <c r="BD1" s="181">
        <v>55</v>
      </c>
      <c r="BE1" s="181">
        <v>56</v>
      </c>
      <c r="BF1" s="181">
        <v>57</v>
      </c>
      <c r="BG1" s="181">
        <v>58</v>
      </c>
      <c r="BH1" s="181">
        <v>59</v>
      </c>
      <c r="BI1" s="181">
        <v>60</v>
      </c>
      <c r="BJ1" s="181">
        <v>61</v>
      </c>
      <c r="BK1" s="181">
        <v>62</v>
      </c>
      <c r="BL1" s="181">
        <v>63</v>
      </c>
      <c r="BM1" s="181">
        <v>64</v>
      </c>
      <c r="BN1" s="181">
        <v>65</v>
      </c>
      <c r="BO1" s="181">
        <v>66</v>
      </c>
      <c r="BP1" s="181">
        <v>67</v>
      </c>
      <c r="BQ1" s="181">
        <v>68</v>
      </c>
      <c r="BR1" s="181">
        <v>69</v>
      </c>
      <c r="BS1" s="181">
        <v>70</v>
      </c>
      <c r="BT1" s="181">
        <v>71</v>
      </c>
      <c r="BU1" s="181">
        <v>72</v>
      </c>
      <c r="BV1" s="182">
        <v>73</v>
      </c>
      <c r="BW1" s="181">
        <v>74</v>
      </c>
      <c r="BX1" s="181"/>
      <c r="BY1" s="181">
        <v>76</v>
      </c>
      <c r="BZ1" s="181">
        <v>77</v>
      </c>
      <c r="CA1" s="181">
        <v>78</v>
      </c>
      <c r="CB1" s="339" t="s">
        <v>323</v>
      </c>
      <c r="CC1" s="377" t="s">
        <v>323</v>
      </c>
      <c r="CD1" s="377"/>
      <c r="CE1" s="377"/>
      <c r="CF1" s="181"/>
      <c r="CG1" s="180">
        <v>2019</v>
      </c>
      <c r="CH1" s="180">
        <v>2019</v>
      </c>
      <c r="CI1" s="181">
        <v>2019</v>
      </c>
      <c r="CJ1" s="181">
        <v>85</v>
      </c>
      <c r="CK1" s="180">
        <v>2021</v>
      </c>
      <c r="CL1" s="180">
        <v>2022</v>
      </c>
      <c r="CM1" s="180">
        <v>2023</v>
      </c>
      <c r="CN1" s="180">
        <v>2024</v>
      </c>
      <c r="CO1" s="180">
        <v>2025</v>
      </c>
      <c r="CP1" s="181">
        <v>93</v>
      </c>
      <c r="CQ1" s="181"/>
      <c r="CR1" s="180">
        <v>2020</v>
      </c>
      <c r="CS1" s="180">
        <v>2020</v>
      </c>
      <c r="CT1" s="181">
        <v>90</v>
      </c>
      <c r="CU1" s="181">
        <v>91</v>
      </c>
      <c r="CV1" s="183"/>
      <c r="CY1" s="347"/>
      <c r="CZ1" s="347"/>
      <c r="DA1" s="347"/>
      <c r="DB1" s="347"/>
      <c r="DC1" s="347"/>
      <c r="DD1" s="347"/>
      <c r="DE1" s="347"/>
      <c r="DF1" s="347"/>
      <c r="DG1" s="347"/>
      <c r="DH1" s="347"/>
    </row>
    <row r="2" spans="1:112" s="171" customFormat="1" x14ac:dyDescent="0.25">
      <c r="A2" s="179" t="s">
        <v>37</v>
      </c>
      <c r="B2" s="181" t="s">
        <v>38</v>
      </c>
      <c r="C2" s="368" t="s">
        <v>429</v>
      </c>
      <c r="D2" s="185" t="s">
        <v>3</v>
      </c>
      <c r="E2" s="366" t="s">
        <v>29</v>
      </c>
      <c r="F2" s="186" t="s">
        <v>30</v>
      </c>
      <c r="G2" s="187" t="s">
        <v>4</v>
      </c>
      <c r="H2" s="188" t="s">
        <v>5</v>
      </c>
      <c r="I2" s="184" t="s">
        <v>15</v>
      </c>
      <c r="J2" s="186" t="s">
        <v>13</v>
      </c>
      <c r="K2" s="186" t="s">
        <v>1</v>
      </c>
      <c r="L2" s="186" t="s">
        <v>2</v>
      </c>
      <c r="M2" s="187" t="s">
        <v>6</v>
      </c>
      <c r="N2" s="188" t="s">
        <v>7</v>
      </c>
      <c r="O2" s="184" t="s">
        <v>8</v>
      </c>
      <c r="P2" s="184" t="s">
        <v>10</v>
      </c>
      <c r="Q2" s="184" t="s">
        <v>9</v>
      </c>
      <c r="R2" s="184" t="s">
        <v>11</v>
      </c>
      <c r="S2" s="187" t="s">
        <v>12</v>
      </c>
      <c r="T2" s="189" t="s">
        <v>32</v>
      </c>
      <c r="U2" s="184" t="s">
        <v>16</v>
      </c>
      <c r="V2" s="367" t="s">
        <v>424</v>
      </c>
      <c r="W2" s="367" t="s">
        <v>425</v>
      </c>
      <c r="X2" s="185" t="s">
        <v>20</v>
      </c>
      <c r="Y2" s="190" t="s">
        <v>26</v>
      </c>
      <c r="Z2" s="190" t="s">
        <v>27</v>
      </c>
      <c r="AA2" s="190" t="s">
        <v>28</v>
      </c>
      <c r="AB2" s="185" t="s">
        <v>17</v>
      </c>
      <c r="AC2" s="181" t="s">
        <v>31</v>
      </c>
      <c r="AD2" s="187" t="s">
        <v>400</v>
      </c>
      <c r="AE2" s="189" t="s">
        <v>31</v>
      </c>
      <c r="AF2" s="184"/>
      <c r="AG2" s="185" t="s">
        <v>453</v>
      </c>
      <c r="AH2" s="191" t="s">
        <v>34</v>
      </c>
      <c r="AI2" s="192" t="s">
        <v>31</v>
      </c>
      <c r="AJ2" s="193" t="s">
        <v>454</v>
      </c>
      <c r="AK2" s="189" t="s">
        <v>31</v>
      </c>
      <c r="AL2" s="187" t="s">
        <v>455</v>
      </c>
      <c r="AM2" s="189" t="s">
        <v>31</v>
      </c>
      <c r="AN2" s="334" t="s">
        <v>22</v>
      </c>
      <c r="AO2" s="453" t="s">
        <v>430</v>
      </c>
      <c r="AP2" s="185" t="s">
        <v>3</v>
      </c>
      <c r="AQ2" s="186" t="s">
        <v>29</v>
      </c>
      <c r="AR2" s="186" t="s">
        <v>30</v>
      </c>
      <c r="AS2" s="187" t="s">
        <v>4</v>
      </c>
      <c r="AT2" s="188" t="s">
        <v>5</v>
      </c>
      <c r="AU2" s="184" t="s">
        <v>15</v>
      </c>
      <c r="AV2" s="186" t="s">
        <v>13</v>
      </c>
      <c r="AW2" s="186" t="s">
        <v>1</v>
      </c>
      <c r="AX2" s="186" t="s">
        <v>2</v>
      </c>
      <c r="AY2" s="187" t="s">
        <v>6</v>
      </c>
      <c r="AZ2" s="188" t="s">
        <v>7</v>
      </c>
      <c r="BA2" s="184" t="s">
        <v>8</v>
      </c>
      <c r="BB2" s="184" t="s">
        <v>10</v>
      </c>
      <c r="BC2" s="184" t="s">
        <v>9</v>
      </c>
      <c r="BD2" s="184" t="s">
        <v>11</v>
      </c>
      <c r="BE2" s="187" t="s">
        <v>12</v>
      </c>
      <c r="BF2" s="189" t="s">
        <v>32</v>
      </c>
      <c r="BG2" s="184" t="s">
        <v>16</v>
      </c>
      <c r="BH2" s="367" t="s">
        <v>424</v>
      </c>
      <c r="BI2" s="367" t="s">
        <v>425</v>
      </c>
      <c r="BJ2" s="185" t="s">
        <v>20</v>
      </c>
      <c r="BK2" s="190" t="s">
        <v>26</v>
      </c>
      <c r="BL2" s="190" t="s">
        <v>27</v>
      </c>
      <c r="BM2" s="190" t="s">
        <v>28</v>
      </c>
      <c r="BN2" s="185" t="s">
        <v>17</v>
      </c>
      <c r="BO2" s="181" t="s">
        <v>31</v>
      </c>
      <c r="BP2" s="187" t="s">
        <v>400</v>
      </c>
      <c r="BQ2" s="189" t="s">
        <v>31</v>
      </c>
      <c r="BR2" s="184"/>
      <c r="BS2" s="185" t="s">
        <v>426</v>
      </c>
      <c r="BT2" s="191" t="s">
        <v>34</v>
      </c>
      <c r="BU2" s="192" t="s">
        <v>31</v>
      </c>
      <c r="BV2" s="193" t="s">
        <v>457</v>
      </c>
      <c r="BW2" s="189" t="s">
        <v>31</v>
      </c>
      <c r="BX2" s="187" t="s">
        <v>458</v>
      </c>
      <c r="BY2" s="189" t="s">
        <v>31</v>
      </c>
      <c r="BZ2" s="334" t="s">
        <v>22</v>
      </c>
      <c r="CA2" s="185"/>
      <c r="CB2" s="339"/>
      <c r="CC2" s="377">
        <v>2021</v>
      </c>
      <c r="CD2" s="377"/>
      <c r="CE2" s="377"/>
      <c r="CF2" s="181"/>
      <c r="CG2" s="181" t="s">
        <v>326</v>
      </c>
      <c r="CH2" s="181" t="s">
        <v>367</v>
      </c>
      <c r="CI2" s="181" t="s">
        <v>326</v>
      </c>
      <c r="CJ2" s="183" t="s">
        <v>419</v>
      </c>
      <c r="CK2" s="180" t="s">
        <v>325</v>
      </c>
      <c r="CL2" s="383" t="s">
        <v>325</v>
      </c>
      <c r="CM2" s="383" t="s">
        <v>325</v>
      </c>
      <c r="CN2" s="383" t="s">
        <v>325</v>
      </c>
      <c r="CO2" s="383" t="s">
        <v>325</v>
      </c>
      <c r="CP2" s="348" t="s">
        <v>456</v>
      </c>
      <c r="CQ2" s="181"/>
      <c r="CR2" s="180" t="s">
        <v>378</v>
      </c>
      <c r="CS2" s="181" t="s">
        <v>381</v>
      </c>
      <c r="CT2" s="347" t="s">
        <v>428</v>
      </c>
      <c r="CU2" s="347" t="s">
        <v>427</v>
      </c>
      <c r="CV2" s="347" t="s">
        <v>434</v>
      </c>
      <c r="CZ2" s="347"/>
    </row>
    <row r="3" spans="1:112" x14ac:dyDescent="0.25">
      <c r="A3" s="361">
        <v>20</v>
      </c>
      <c r="B3" s="349" t="s">
        <v>319</v>
      </c>
      <c r="C3" s="373">
        <v>16475</v>
      </c>
      <c r="D3" s="360">
        <v>22.25</v>
      </c>
      <c r="E3" s="349"/>
      <c r="F3" s="349"/>
      <c r="G3" s="363">
        <v>21751</v>
      </c>
      <c r="H3" s="363">
        <v>110542</v>
      </c>
      <c r="I3" s="349"/>
      <c r="J3" s="363">
        <v>57840</v>
      </c>
      <c r="K3" s="363">
        <v>1596</v>
      </c>
      <c r="L3" s="363">
        <v>3557</v>
      </c>
      <c r="M3" s="363">
        <v>62993</v>
      </c>
      <c r="N3" s="363">
        <v>31449</v>
      </c>
      <c r="O3" s="363">
        <v>341</v>
      </c>
      <c r="P3" s="363">
        <v>256</v>
      </c>
      <c r="Q3" s="363">
        <v>324</v>
      </c>
      <c r="R3" s="363">
        <v>3</v>
      </c>
      <c r="S3" s="363">
        <v>6057</v>
      </c>
      <c r="T3" s="349"/>
      <c r="U3" s="363">
        <v>6043</v>
      </c>
      <c r="V3" s="363">
        <v>0</v>
      </c>
      <c r="W3" s="363">
        <v>0</v>
      </c>
      <c r="X3" s="363">
        <v>14</v>
      </c>
      <c r="Y3" s="363">
        <v>26</v>
      </c>
      <c r="Z3" s="363">
        <v>0</v>
      </c>
      <c r="AA3" s="363">
        <v>0</v>
      </c>
      <c r="AB3" s="363">
        <v>40</v>
      </c>
      <c r="AC3" s="349"/>
      <c r="AD3" s="363">
        <v>-8846</v>
      </c>
      <c r="AE3" s="349"/>
      <c r="AF3" s="349"/>
      <c r="AG3" s="363">
        <v>-5130</v>
      </c>
      <c r="AH3" s="349"/>
      <c r="AI3" s="349"/>
      <c r="AJ3" s="363">
        <v>2944</v>
      </c>
      <c r="AK3" s="349"/>
      <c r="AL3" s="363">
        <v>53609</v>
      </c>
      <c r="AM3" s="349"/>
      <c r="AN3" s="349"/>
      <c r="AO3" s="462">
        <v>16391</v>
      </c>
      <c r="AP3" s="478">
        <v>22.25</v>
      </c>
      <c r="AQ3" s="429"/>
      <c r="AR3" s="429"/>
      <c r="AS3" s="509">
        <v>28305</v>
      </c>
      <c r="AT3" s="349">
        <v>112143</v>
      </c>
      <c r="AU3" s="363">
        <v>-83838</v>
      </c>
      <c r="AV3" s="349">
        <v>59104</v>
      </c>
      <c r="AW3" s="349">
        <v>1773</v>
      </c>
      <c r="AX3" s="349">
        <v>3273</v>
      </c>
      <c r="AY3" s="349">
        <v>64150</v>
      </c>
      <c r="AZ3" s="349">
        <v>36698</v>
      </c>
      <c r="BA3" s="349">
        <v>307</v>
      </c>
      <c r="BB3" s="349">
        <v>208</v>
      </c>
      <c r="BC3" s="349">
        <v>378</v>
      </c>
      <c r="BD3" s="349">
        <v>0</v>
      </c>
      <c r="BE3" s="349">
        <v>17487</v>
      </c>
      <c r="BF3" s="349"/>
      <c r="BG3" s="349">
        <v>5748</v>
      </c>
      <c r="BH3" s="349">
        <v>0</v>
      </c>
      <c r="BI3" s="349">
        <v>0</v>
      </c>
      <c r="BJ3" s="349">
        <v>11739</v>
      </c>
      <c r="BK3" s="349">
        <v>20</v>
      </c>
      <c r="BL3" s="349">
        <v>0</v>
      </c>
      <c r="BM3" s="349">
        <v>0</v>
      </c>
      <c r="BN3" s="349">
        <v>11759</v>
      </c>
      <c r="BO3" s="349"/>
      <c r="BP3" s="349">
        <v>2911</v>
      </c>
      <c r="BQ3" s="349"/>
      <c r="BR3" s="349"/>
      <c r="BS3" s="349"/>
      <c r="BT3" s="349"/>
      <c r="BU3" s="349"/>
      <c r="BV3" s="349">
        <v>8664</v>
      </c>
      <c r="BW3" s="349"/>
      <c r="BX3" s="349">
        <v>52444</v>
      </c>
      <c r="BY3" s="349"/>
      <c r="BZ3" s="349"/>
      <c r="CA3" s="349"/>
      <c r="CB3" s="449"/>
      <c r="CC3" s="488">
        <v>22.25</v>
      </c>
      <c r="CD3" s="378"/>
      <c r="CE3" s="378"/>
      <c r="CF3" s="349"/>
      <c r="CG3" s="349"/>
      <c r="CH3" s="349"/>
      <c r="CI3" s="349">
        <v>27814</v>
      </c>
      <c r="CJ3" s="349">
        <v>0</v>
      </c>
      <c r="CK3" s="491">
        <v>33290.793710808459</v>
      </c>
      <c r="CL3" s="493">
        <v>34816.096459714143</v>
      </c>
      <c r="CM3" s="363">
        <v>5761.8766612934705</v>
      </c>
      <c r="CN3" s="475">
        <v>5070.5645270483574</v>
      </c>
      <c r="CO3" s="475">
        <v>4703.5105123290159</v>
      </c>
      <c r="CP3" s="433">
        <f>N3-CK3</f>
        <v>-1841.7937108084589</v>
      </c>
      <c r="CQ3" s="429"/>
      <c r="CR3" s="363">
        <v>-4649</v>
      </c>
      <c r="CS3" s="363">
        <v>-16001</v>
      </c>
      <c r="CT3" s="349">
        <v>115</v>
      </c>
      <c r="CU3" s="349">
        <v>6282</v>
      </c>
      <c r="CV3" s="485">
        <v>-8</v>
      </c>
      <c r="CW3" s="357"/>
      <c r="CX3" s="347"/>
      <c r="CY3" s="475"/>
      <c r="CZ3" s="394"/>
      <c r="DA3" s="394"/>
      <c r="DB3" s="394"/>
      <c r="DC3" s="347"/>
      <c r="DD3" s="394"/>
      <c r="DE3" s="394"/>
      <c r="DF3" s="394"/>
      <c r="DG3" s="394"/>
      <c r="DH3" s="394"/>
    </row>
    <row r="4" spans="1:112" x14ac:dyDescent="0.25">
      <c r="A4" s="198">
        <v>5</v>
      </c>
      <c r="B4" s="197" t="s">
        <v>39</v>
      </c>
      <c r="C4" s="373">
        <v>9562</v>
      </c>
      <c r="D4" s="360">
        <v>21.75</v>
      </c>
      <c r="E4" s="213"/>
      <c r="F4" s="197"/>
      <c r="G4" s="363">
        <v>44709</v>
      </c>
      <c r="H4" s="363">
        <v>107678</v>
      </c>
      <c r="I4" s="349"/>
      <c r="J4" s="363">
        <v>25292</v>
      </c>
      <c r="K4" s="363">
        <v>2066</v>
      </c>
      <c r="L4" s="363">
        <v>2154</v>
      </c>
      <c r="M4" s="363">
        <v>29512</v>
      </c>
      <c r="N4" s="363">
        <v>34792</v>
      </c>
      <c r="O4" s="363">
        <v>16</v>
      </c>
      <c r="P4" s="363">
        <v>218</v>
      </c>
      <c r="Q4" s="363">
        <v>154</v>
      </c>
      <c r="R4" s="363">
        <v>4</v>
      </c>
      <c r="S4" s="363">
        <v>1283</v>
      </c>
      <c r="T4" s="197"/>
      <c r="U4" s="363">
        <v>3246</v>
      </c>
      <c r="V4" s="363">
        <v>0</v>
      </c>
      <c r="W4" s="363">
        <v>0</v>
      </c>
      <c r="X4" s="363">
        <v>-1963</v>
      </c>
      <c r="Y4" s="363">
        <v>0</v>
      </c>
      <c r="Z4" s="363">
        <v>0</v>
      </c>
      <c r="AA4" s="363">
        <v>0</v>
      </c>
      <c r="AB4" s="363">
        <v>-1963</v>
      </c>
      <c r="AC4" s="197"/>
      <c r="AD4" s="363">
        <v>5768</v>
      </c>
      <c r="AE4" s="197"/>
      <c r="AF4" s="197"/>
      <c r="AG4" s="363">
        <v>-6887</v>
      </c>
      <c r="AH4" s="349"/>
      <c r="AI4" s="197"/>
      <c r="AJ4" s="363">
        <v>3371</v>
      </c>
      <c r="AK4" s="197"/>
      <c r="AL4" s="363">
        <v>27858</v>
      </c>
      <c r="AM4" s="197"/>
      <c r="AN4" s="349"/>
      <c r="AO4" s="454">
        <v>9419</v>
      </c>
      <c r="AP4" s="478">
        <v>21.75</v>
      </c>
      <c r="AQ4" s="213"/>
      <c r="AR4" s="197"/>
      <c r="AS4" s="509">
        <v>43439</v>
      </c>
      <c r="AT4" s="349">
        <v>106079</v>
      </c>
      <c r="AU4" s="480">
        <v>-62640</v>
      </c>
      <c r="AV4" s="199">
        <v>25512</v>
      </c>
      <c r="AW4" s="199">
        <v>2144</v>
      </c>
      <c r="AX4" s="199">
        <v>1927</v>
      </c>
      <c r="AY4" s="199">
        <v>29583</v>
      </c>
      <c r="AZ4" s="199">
        <v>38640</v>
      </c>
      <c r="BA4" s="181">
        <v>6</v>
      </c>
      <c r="BB4" s="511">
        <v>192</v>
      </c>
      <c r="BC4" s="181">
        <v>254</v>
      </c>
      <c r="BD4" s="181">
        <v>2</v>
      </c>
      <c r="BE4" s="199">
        <v>5649</v>
      </c>
      <c r="BF4" s="197"/>
      <c r="BG4" s="183">
        <v>3584</v>
      </c>
      <c r="BH4" s="183">
        <v>0</v>
      </c>
      <c r="BI4" s="183">
        <v>0</v>
      </c>
      <c r="BJ4" s="199">
        <v>2065</v>
      </c>
      <c r="BK4" s="183">
        <v>0</v>
      </c>
      <c r="BL4" s="183">
        <v>0</v>
      </c>
      <c r="BM4" s="183">
        <v>0</v>
      </c>
      <c r="BN4" s="199">
        <v>2065</v>
      </c>
      <c r="BO4" s="197"/>
      <c r="BP4" s="199">
        <v>7833</v>
      </c>
      <c r="BQ4" s="197"/>
      <c r="BR4" s="197"/>
      <c r="BS4" s="211"/>
      <c r="BT4" s="197"/>
      <c r="BU4" s="197"/>
      <c r="BV4" s="514">
        <v>4508</v>
      </c>
      <c r="BW4" s="197"/>
      <c r="BX4" s="181">
        <v>27715</v>
      </c>
      <c r="BY4" s="197"/>
      <c r="BZ4" s="349"/>
      <c r="CA4" s="197"/>
      <c r="CB4" s="340"/>
      <c r="CC4" s="488">
        <v>21.75</v>
      </c>
      <c r="CD4" s="378"/>
      <c r="CE4" s="378"/>
      <c r="CF4" s="195"/>
      <c r="CG4" s="349"/>
      <c r="CH4" s="197"/>
      <c r="CI4" s="181">
        <v>30121</v>
      </c>
      <c r="CJ4" s="183">
        <v>0</v>
      </c>
      <c r="CK4" s="421">
        <v>37673.672103351048</v>
      </c>
      <c r="CL4" s="494">
        <v>38887.733234362247</v>
      </c>
      <c r="CM4" s="483">
        <v>14471.980054502994</v>
      </c>
      <c r="CN4" s="483">
        <v>14358.27808264319</v>
      </c>
      <c r="CO4" s="483">
        <v>14154.553001613165</v>
      </c>
      <c r="CP4" s="433">
        <f t="shared" ref="CP4:CP66" si="0">N4-CK4</f>
        <v>-2881.6721033510476</v>
      </c>
      <c r="CQ4" s="212"/>
      <c r="CR4" s="212">
        <v>-3</v>
      </c>
      <c r="CS4" s="212">
        <v>-5620</v>
      </c>
      <c r="CT4" s="183">
        <v>275</v>
      </c>
      <c r="CU4" s="183">
        <v>21</v>
      </c>
      <c r="CV4" s="485">
        <v>7</v>
      </c>
      <c r="CX4" s="422"/>
      <c r="CY4" s="475"/>
      <c r="CZ4" s="450"/>
      <c r="DA4" s="450"/>
      <c r="DB4" s="450"/>
      <c r="DC4" s="422"/>
      <c r="DD4" s="394"/>
      <c r="DE4" s="394"/>
      <c r="DF4" s="394"/>
      <c r="DG4" s="394"/>
      <c r="DH4" s="394"/>
    </row>
    <row r="5" spans="1:112" x14ac:dyDescent="0.25">
      <c r="A5" s="179">
        <v>9</v>
      </c>
      <c r="B5" s="181" t="s">
        <v>40</v>
      </c>
      <c r="C5" s="373">
        <v>2519</v>
      </c>
      <c r="D5" s="360">
        <v>22</v>
      </c>
      <c r="E5" s="213"/>
      <c r="G5" s="363">
        <v>2190</v>
      </c>
      <c r="H5" s="363">
        <v>17586</v>
      </c>
      <c r="I5" s="349"/>
      <c r="J5" s="363">
        <v>6931</v>
      </c>
      <c r="K5" s="363">
        <v>263</v>
      </c>
      <c r="L5" s="363">
        <v>768</v>
      </c>
      <c r="M5" s="363">
        <v>7962</v>
      </c>
      <c r="N5" s="363">
        <v>8909</v>
      </c>
      <c r="O5" s="363">
        <v>0</v>
      </c>
      <c r="P5" s="363">
        <v>26</v>
      </c>
      <c r="Q5" s="363">
        <v>15</v>
      </c>
      <c r="R5" s="363">
        <v>4</v>
      </c>
      <c r="S5" s="363">
        <v>1460</v>
      </c>
      <c r="U5" s="363">
        <v>745</v>
      </c>
      <c r="V5" s="363">
        <v>0</v>
      </c>
      <c r="W5" s="363">
        <v>0</v>
      </c>
      <c r="X5" s="363">
        <v>715</v>
      </c>
      <c r="Y5" s="363">
        <v>0</v>
      </c>
      <c r="Z5" s="363">
        <v>0</v>
      </c>
      <c r="AA5" s="363">
        <v>0</v>
      </c>
      <c r="AB5" s="363">
        <v>715</v>
      </c>
      <c r="AD5" s="363">
        <v>823</v>
      </c>
      <c r="AG5" s="363">
        <v>-1136</v>
      </c>
      <c r="AH5" s="349"/>
      <c r="AJ5" s="363">
        <v>1814</v>
      </c>
      <c r="AL5" s="363">
        <v>9463</v>
      </c>
      <c r="AN5" s="349"/>
      <c r="AO5" s="454">
        <v>2517</v>
      </c>
      <c r="AP5" s="478">
        <v>22</v>
      </c>
      <c r="AQ5" s="213"/>
      <c r="AS5" s="509">
        <v>2476</v>
      </c>
      <c r="AT5" s="349">
        <v>18348</v>
      </c>
      <c r="AU5" s="480">
        <v>-15872</v>
      </c>
      <c r="AV5" s="199">
        <v>6711</v>
      </c>
      <c r="AW5" s="199">
        <v>305</v>
      </c>
      <c r="AX5" s="199">
        <v>700</v>
      </c>
      <c r="AY5" s="199">
        <v>7716</v>
      </c>
      <c r="AZ5" s="199">
        <v>10101</v>
      </c>
      <c r="BA5" s="181">
        <v>0</v>
      </c>
      <c r="BB5" s="511">
        <v>-15</v>
      </c>
      <c r="BC5" s="181">
        <v>21</v>
      </c>
      <c r="BD5" s="181">
        <v>10</v>
      </c>
      <c r="BE5" s="199">
        <v>1971</v>
      </c>
      <c r="BG5" s="183">
        <v>705</v>
      </c>
      <c r="BH5" s="183">
        <v>0</v>
      </c>
      <c r="BI5" s="183">
        <v>0</v>
      </c>
      <c r="BJ5" s="199">
        <v>1266</v>
      </c>
      <c r="BK5" s="183">
        <v>0</v>
      </c>
      <c r="BL5" s="183">
        <v>0</v>
      </c>
      <c r="BM5" s="183">
        <v>0</v>
      </c>
      <c r="BN5" s="199">
        <v>1266</v>
      </c>
      <c r="BP5" s="199">
        <v>2090</v>
      </c>
      <c r="BS5" s="211"/>
      <c r="BV5" s="514">
        <v>3751</v>
      </c>
      <c r="BX5" s="181">
        <v>10000</v>
      </c>
      <c r="BZ5" s="349"/>
      <c r="CB5" s="340"/>
      <c r="CC5" s="488">
        <v>22</v>
      </c>
      <c r="CD5" s="378"/>
      <c r="CE5" s="378"/>
      <c r="CF5" s="195"/>
      <c r="CG5" s="349"/>
      <c r="CI5" s="181">
        <v>7636</v>
      </c>
      <c r="CJ5" s="183">
        <v>0</v>
      </c>
      <c r="CK5" s="421">
        <v>9464.0668714280146</v>
      </c>
      <c r="CL5" s="494">
        <v>10406.876202838328</v>
      </c>
      <c r="CM5" s="483">
        <v>2867.4742947928576</v>
      </c>
      <c r="CN5" s="483">
        <v>2778.6458807493386</v>
      </c>
      <c r="CO5" s="483">
        <v>2793.0880930210556</v>
      </c>
      <c r="CP5" s="433">
        <f t="shared" si="0"/>
        <v>-555.06687142801457</v>
      </c>
      <c r="CQ5" s="212"/>
      <c r="CR5" s="212">
        <v>-128</v>
      </c>
      <c r="CS5" s="212">
        <v>-1061</v>
      </c>
      <c r="CT5" s="183">
        <v>11</v>
      </c>
      <c r="CU5" s="183">
        <v>801</v>
      </c>
      <c r="CV5" s="485">
        <v>-690</v>
      </c>
      <c r="CX5" s="422"/>
      <c r="CY5" s="475"/>
      <c r="CZ5" s="450"/>
      <c r="DA5" s="394"/>
      <c r="DB5" s="394"/>
      <c r="DC5" s="347"/>
      <c r="DD5" s="394"/>
      <c r="DE5" s="394"/>
      <c r="DF5" s="394"/>
      <c r="DG5" s="394"/>
      <c r="DH5" s="394"/>
    </row>
    <row r="6" spans="1:112" x14ac:dyDescent="0.25">
      <c r="A6" s="179">
        <v>10</v>
      </c>
      <c r="B6" s="181" t="s">
        <v>41</v>
      </c>
      <c r="C6" s="373">
        <v>11468</v>
      </c>
      <c r="D6" s="360">
        <v>21.25</v>
      </c>
      <c r="E6" s="213"/>
      <c r="G6" s="363">
        <v>12202</v>
      </c>
      <c r="H6" s="363">
        <v>84410</v>
      </c>
      <c r="I6" s="349"/>
      <c r="J6" s="363">
        <v>29279</v>
      </c>
      <c r="K6" s="363">
        <v>2585</v>
      </c>
      <c r="L6" s="363">
        <v>2799</v>
      </c>
      <c r="M6" s="363">
        <v>34663</v>
      </c>
      <c r="N6" s="363">
        <v>38072</v>
      </c>
      <c r="O6" s="363">
        <v>195</v>
      </c>
      <c r="P6" s="363">
        <v>266</v>
      </c>
      <c r="Q6" s="363">
        <v>459</v>
      </c>
      <c r="R6" s="363">
        <v>-161</v>
      </c>
      <c r="S6" s="363">
        <v>1076</v>
      </c>
      <c r="U6" s="363">
        <v>3653</v>
      </c>
      <c r="V6" s="363">
        <v>9142</v>
      </c>
      <c r="W6" s="363">
        <v>0</v>
      </c>
      <c r="X6" s="363">
        <v>6565</v>
      </c>
      <c r="Y6" s="363">
        <v>0</v>
      </c>
      <c r="Z6" s="363">
        <v>0</v>
      </c>
      <c r="AA6" s="363">
        <v>0</v>
      </c>
      <c r="AB6" s="363">
        <v>6565</v>
      </c>
      <c r="AD6" s="363">
        <v>21344</v>
      </c>
      <c r="AG6" s="363">
        <v>1040</v>
      </c>
      <c r="AH6" s="349"/>
      <c r="AJ6" s="363">
        <v>14486</v>
      </c>
      <c r="AL6" s="363">
        <v>45243</v>
      </c>
      <c r="AN6" s="349"/>
      <c r="AO6" s="454">
        <v>11332</v>
      </c>
      <c r="AP6" s="478">
        <v>21.25</v>
      </c>
      <c r="AQ6" s="213"/>
      <c r="AS6" s="509">
        <v>11612</v>
      </c>
      <c r="AT6" s="349">
        <v>85363</v>
      </c>
      <c r="AU6" s="480">
        <v>-73751</v>
      </c>
      <c r="AV6" s="199">
        <v>29760</v>
      </c>
      <c r="AW6" s="199">
        <v>2810</v>
      </c>
      <c r="AX6" s="199">
        <v>2502</v>
      </c>
      <c r="AY6" s="199">
        <v>35072</v>
      </c>
      <c r="AZ6" s="199">
        <v>43125</v>
      </c>
      <c r="BA6" s="181">
        <v>188</v>
      </c>
      <c r="BB6" s="511">
        <v>294</v>
      </c>
      <c r="BC6" s="181">
        <v>853</v>
      </c>
      <c r="BD6" s="181">
        <v>16</v>
      </c>
      <c r="BE6" s="199">
        <v>5177</v>
      </c>
      <c r="BG6" s="183">
        <v>4032</v>
      </c>
      <c r="BH6" s="183">
        <v>0</v>
      </c>
      <c r="BI6" s="183">
        <v>0</v>
      </c>
      <c r="BJ6" s="199">
        <v>1145</v>
      </c>
      <c r="BK6" s="183">
        <v>0</v>
      </c>
      <c r="BL6" s="183">
        <v>0</v>
      </c>
      <c r="BM6" s="183">
        <v>0</v>
      </c>
      <c r="BN6" s="199">
        <v>1145</v>
      </c>
      <c r="BP6" s="199">
        <v>22489</v>
      </c>
      <c r="BS6" s="211"/>
      <c r="BV6" s="514">
        <v>25904</v>
      </c>
      <c r="BX6" s="181">
        <v>45665</v>
      </c>
      <c r="BZ6" s="349"/>
      <c r="CB6" s="340"/>
      <c r="CC6" s="488">
        <v>21.25</v>
      </c>
      <c r="CD6" s="378"/>
      <c r="CE6" s="378"/>
      <c r="CF6" s="195"/>
      <c r="CG6" s="349"/>
      <c r="CI6" s="181">
        <v>24410</v>
      </c>
      <c r="CJ6" s="183">
        <v>0</v>
      </c>
      <c r="CK6" s="421">
        <v>42068.324490618339</v>
      </c>
      <c r="CL6" s="494">
        <v>44544.81168764711</v>
      </c>
      <c r="CM6" s="483">
        <v>11243.992283591115</v>
      </c>
      <c r="CN6" s="483">
        <v>10936.28441233121</v>
      </c>
      <c r="CO6" s="483">
        <v>10938.816061337255</v>
      </c>
      <c r="CP6" s="433">
        <f t="shared" si="0"/>
        <v>-3996.324490618339</v>
      </c>
      <c r="CQ6" s="212"/>
      <c r="CR6" s="212">
        <v>-146</v>
      </c>
      <c r="CS6" s="212">
        <v>-6980</v>
      </c>
      <c r="CT6" s="183">
        <v>262</v>
      </c>
      <c r="CU6" s="183">
        <v>290</v>
      </c>
      <c r="CV6" s="485">
        <v>203</v>
      </c>
      <c r="CX6" s="422"/>
      <c r="CY6" s="475"/>
      <c r="CZ6" s="450"/>
      <c r="DA6" s="394"/>
      <c r="DB6" s="394"/>
      <c r="DC6" s="347"/>
      <c r="DD6" s="394"/>
      <c r="DE6" s="394"/>
      <c r="DF6" s="394"/>
      <c r="DG6" s="394"/>
      <c r="DH6" s="394"/>
    </row>
    <row r="7" spans="1:112" x14ac:dyDescent="0.25">
      <c r="A7" s="179">
        <v>16</v>
      </c>
      <c r="B7" s="181" t="s">
        <v>42</v>
      </c>
      <c r="C7" s="373">
        <v>8083</v>
      </c>
      <c r="D7" s="360">
        <v>20.75</v>
      </c>
      <c r="E7" s="213"/>
      <c r="G7" s="363">
        <v>6112</v>
      </c>
      <c r="H7" s="363">
        <v>52010</v>
      </c>
      <c r="I7" s="349"/>
      <c r="J7" s="363">
        <v>25296</v>
      </c>
      <c r="K7" s="363">
        <v>1538</v>
      </c>
      <c r="L7" s="363">
        <v>2911</v>
      </c>
      <c r="M7" s="363">
        <v>29745</v>
      </c>
      <c r="N7" s="363">
        <v>18410</v>
      </c>
      <c r="O7" s="363">
        <v>1</v>
      </c>
      <c r="P7" s="363">
        <v>41</v>
      </c>
      <c r="Q7" s="363">
        <v>296</v>
      </c>
      <c r="R7" s="363">
        <v>149</v>
      </c>
      <c r="S7" s="363">
        <v>2364</v>
      </c>
      <c r="U7" s="363">
        <v>2215</v>
      </c>
      <c r="V7" s="363">
        <v>0</v>
      </c>
      <c r="W7" s="363">
        <v>182</v>
      </c>
      <c r="X7" s="363">
        <v>-33</v>
      </c>
      <c r="Y7" s="363">
        <v>94</v>
      </c>
      <c r="Z7" s="363">
        <v>0</v>
      </c>
      <c r="AA7" s="363">
        <v>0</v>
      </c>
      <c r="AB7" s="363">
        <v>61</v>
      </c>
      <c r="AD7" s="363">
        <v>11007</v>
      </c>
      <c r="AG7" s="363">
        <v>-1934</v>
      </c>
      <c r="AH7" s="349"/>
      <c r="AJ7" s="363">
        <v>996</v>
      </c>
      <c r="AL7" s="363">
        <v>7455</v>
      </c>
      <c r="AN7" s="349"/>
      <c r="AO7" s="454">
        <v>8059</v>
      </c>
      <c r="AP7" s="478">
        <v>20.75</v>
      </c>
      <c r="AQ7" s="213"/>
      <c r="AS7" s="509">
        <v>5611</v>
      </c>
      <c r="AT7" s="349">
        <v>50709</v>
      </c>
      <c r="AU7" s="480">
        <v>-45098</v>
      </c>
      <c r="AV7" s="199">
        <v>27480</v>
      </c>
      <c r="AW7" s="199">
        <v>1731</v>
      </c>
      <c r="AX7" s="199">
        <v>2672</v>
      </c>
      <c r="AY7" s="199">
        <v>31883</v>
      </c>
      <c r="AZ7" s="199">
        <v>21892</v>
      </c>
      <c r="BA7" s="181">
        <v>0</v>
      </c>
      <c r="BB7" s="511">
        <v>44</v>
      </c>
      <c r="BC7" s="181">
        <v>300</v>
      </c>
      <c r="BD7" s="181">
        <v>287</v>
      </c>
      <c r="BE7" s="199">
        <v>8646</v>
      </c>
      <c r="BG7" s="183">
        <v>2509</v>
      </c>
      <c r="BH7" s="183">
        <v>0</v>
      </c>
      <c r="BI7" s="183">
        <v>0</v>
      </c>
      <c r="BJ7" s="199">
        <v>6137</v>
      </c>
      <c r="BK7" s="199">
        <v>94</v>
      </c>
      <c r="BL7" s="183">
        <v>-5000</v>
      </c>
      <c r="BM7" s="183">
        <v>0</v>
      </c>
      <c r="BN7" s="199">
        <v>1231</v>
      </c>
      <c r="BP7" s="199">
        <v>12238</v>
      </c>
      <c r="BS7" s="211"/>
      <c r="BV7" s="514">
        <v>893</v>
      </c>
      <c r="BX7" s="181">
        <v>1945</v>
      </c>
      <c r="BZ7" s="349"/>
      <c r="CB7" s="340"/>
      <c r="CC7" s="488">
        <v>20.75</v>
      </c>
      <c r="CD7" s="378"/>
      <c r="CE7" s="378"/>
      <c r="CF7" s="195"/>
      <c r="CG7" s="349"/>
      <c r="CI7" s="181">
        <v>15106</v>
      </c>
      <c r="CJ7" s="183">
        <v>0</v>
      </c>
      <c r="CK7" s="421">
        <v>19995.277908476961</v>
      </c>
      <c r="CL7" s="494">
        <v>21877.607868312203</v>
      </c>
      <c r="CM7" s="483">
        <v>5588.7411245427529</v>
      </c>
      <c r="CN7" s="483">
        <v>5275.1297244002853</v>
      </c>
      <c r="CO7" s="483">
        <v>4929.585364911919</v>
      </c>
      <c r="CP7" s="433">
        <f t="shared" si="0"/>
        <v>-1585.2779084769609</v>
      </c>
      <c r="CQ7" s="212"/>
      <c r="CR7" s="212">
        <v>-52</v>
      </c>
      <c r="CS7" s="212">
        <v>-2276</v>
      </c>
      <c r="CT7" s="183">
        <v>19</v>
      </c>
      <c r="CU7" s="183">
        <v>226</v>
      </c>
      <c r="CV7" s="485">
        <v>16</v>
      </c>
      <c r="CX7" s="422"/>
      <c r="CY7" s="475"/>
      <c r="CZ7" s="450"/>
      <c r="DA7" s="394"/>
      <c r="DB7" s="394"/>
      <c r="DC7" s="347"/>
      <c r="DD7" s="394"/>
      <c r="DE7" s="394"/>
      <c r="DF7" s="394"/>
      <c r="DG7" s="394"/>
      <c r="DH7" s="394"/>
    </row>
    <row r="8" spans="1:112" x14ac:dyDescent="0.25">
      <c r="A8" s="179">
        <v>18</v>
      </c>
      <c r="B8" s="181" t="s">
        <v>43</v>
      </c>
      <c r="C8" s="373">
        <v>4943</v>
      </c>
      <c r="D8" s="360">
        <v>21.5</v>
      </c>
      <c r="E8" s="213"/>
      <c r="G8" s="363">
        <v>4448</v>
      </c>
      <c r="H8" s="363">
        <v>30316</v>
      </c>
      <c r="I8" s="349"/>
      <c r="J8" s="363">
        <v>17550</v>
      </c>
      <c r="K8" s="363">
        <v>957</v>
      </c>
      <c r="L8" s="363">
        <v>1200</v>
      </c>
      <c r="M8" s="363">
        <v>19707</v>
      </c>
      <c r="N8" s="363">
        <v>8303</v>
      </c>
      <c r="O8" s="363">
        <v>1</v>
      </c>
      <c r="P8" s="363">
        <v>232</v>
      </c>
      <c r="Q8" s="363">
        <v>341</v>
      </c>
      <c r="R8" s="363">
        <v>22</v>
      </c>
      <c r="S8" s="363">
        <v>2230</v>
      </c>
      <c r="U8" s="363">
        <v>1274</v>
      </c>
      <c r="V8" s="363">
        <v>2496</v>
      </c>
      <c r="W8" s="363">
        <v>0</v>
      </c>
      <c r="X8" s="363">
        <v>3452</v>
      </c>
      <c r="Y8" s="363">
        <v>0</v>
      </c>
      <c r="Z8" s="363">
        <v>0</v>
      </c>
      <c r="AA8" s="363">
        <v>0</v>
      </c>
      <c r="AB8" s="363">
        <v>3452</v>
      </c>
      <c r="AD8" s="363">
        <v>2648</v>
      </c>
      <c r="AG8" s="363">
        <v>-3592</v>
      </c>
      <c r="AH8" s="349"/>
      <c r="AJ8" s="363">
        <v>6061</v>
      </c>
      <c r="AL8" s="363">
        <v>22972</v>
      </c>
      <c r="AN8" s="349"/>
      <c r="AO8" s="454">
        <v>4878</v>
      </c>
      <c r="AP8" s="478">
        <v>21.5</v>
      </c>
      <c r="AQ8" s="213"/>
      <c r="AS8" s="509">
        <v>4111</v>
      </c>
      <c r="AT8" s="349">
        <v>30586</v>
      </c>
      <c r="AU8" s="480">
        <v>-26475</v>
      </c>
      <c r="AV8" s="199">
        <v>18369</v>
      </c>
      <c r="AW8" s="199">
        <v>1008</v>
      </c>
      <c r="AX8" s="199">
        <v>1079</v>
      </c>
      <c r="AY8" s="199">
        <v>20456</v>
      </c>
      <c r="AZ8" s="199">
        <v>9951</v>
      </c>
      <c r="BA8" s="181">
        <v>5</v>
      </c>
      <c r="BB8" s="511">
        <v>178</v>
      </c>
      <c r="BC8" s="181">
        <v>387</v>
      </c>
      <c r="BD8" s="181">
        <v>21</v>
      </c>
      <c r="BE8" s="199">
        <v>4125</v>
      </c>
      <c r="BG8" s="183">
        <v>2141</v>
      </c>
      <c r="BH8" s="183">
        <v>0</v>
      </c>
      <c r="BI8" s="183">
        <v>0</v>
      </c>
      <c r="BJ8" s="199">
        <v>1984</v>
      </c>
      <c r="BK8" s="183">
        <v>0</v>
      </c>
      <c r="BL8" s="183">
        <v>0</v>
      </c>
      <c r="BM8" s="183">
        <v>0</v>
      </c>
      <c r="BN8" s="199">
        <v>1984</v>
      </c>
      <c r="BP8" s="199">
        <v>4631</v>
      </c>
      <c r="BS8" s="211"/>
      <c r="BV8" s="514">
        <v>8575</v>
      </c>
      <c r="BX8" s="181">
        <v>24997</v>
      </c>
      <c r="BZ8" s="349"/>
      <c r="CB8" s="340"/>
      <c r="CC8" s="488">
        <v>21.5</v>
      </c>
      <c r="CD8" s="378"/>
      <c r="CE8" s="378"/>
      <c r="CF8" s="195"/>
      <c r="CG8" s="349"/>
      <c r="CH8" s="347"/>
      <c r="CI8" s="181">
        <v>5973</v>
      </c>
      <c r="CJ8" s="183">
        <v>0</v>
      </c>
      <c r="CK8" s="421">
        <v>8185.0744050998092</v>
      </c>
      <c r="CL8" s="494">
        <v>7962.9231876364556</v>
      </c>
      <c r="CM8" s="483">
        <v>2548.9811518008964</v>
      </c>
      <c r="CN8" s="483">
        <v>2847.995512624922</v>
      </c>
      <c r="CO8" s="483">
        <v>2861.6924996869211</v>
      </c>
      <c r="CP8" s="433">
        <f t="shared" si="0"/>
        <v>117.92559490019084</v>
      </c>
      <c r="CQ8" s="212"/>
      <c r="CR8" s="212">
        <v>-27</v>
      </c>
      <c r="CS8" s="212">
        <v>-3582</v>
      </c>
      <c r="CT8" s="183">
        <v>114</v>
      </c>
      <c r="CU8" s="183">
        <v>64</v>
      </c>
      <c r="CV8" s="485">
        <v>0</v>
      </c>
      <c r="CX8" s="422"/>
      <c r="CY8" s="475"/>
      <c r="CZ8" s="450"/>
      <c r="DA8" s="394"/>
      <c r="DB8" s="394"/>
      <c r="DC8" s="347"/>
      <c r="DD8" s="394"/>
      <c r="DE8" s="394"/>
      <c r="DF8" s="394"/>
      <c r="DG8" s="394"/>
      <c r="DH8" s="394"/>
    </row>
    <row r="9" spans="1:112" x14ac:dyDescent="0.25">
      <c r="A9" s="179">
        <v>19</v>
      </c>
      <c r="B9" s="181" t="s">
        <v>44</v>
      </c>
      <c r="C9" s="373">
        <v>3941</v>
      </c>
      <c r="D9" s="360">
        <v>21.75</v>
      </c>
      <c r="E9" s="213"/>
      <c r="G9" s="363">
        <v>2647</v>
      </c>
      <c r="H9" s="363">
        <v>22749</v>
      </c>
      <c r="I9" s="349"/>
      <c r="J9" s="363">
        <v>13353</v>
      </c>
      <c r="K9" s="363">
        <v>603</v>
      </c>
      <c r="L9" s="363">
        <v>751</v>
      </c>
      <c r="M9" s="363">
        <v>14707</v>
      </c>
      <c r="N9" s="363">
        <v>6002</v>
      </c>
      <c r="O9" s="363">
        <v>0</v>
      </c>
      <c r="P9" s="363">
        <v>13</v>
      </c>
      <c r="Q9" s="363">
        <v>35</v>
      </c>
      <c r="R9" s="363">
        <v>19</v>
      </c>
      <c r="S9" s="363">
        <v>610</v>
      </c>
      <c r="U9" s="363">
        <v>847</v>
      </c>
      <c r="V9" s="363">
        <v>0</v>
      </c>
      <c r="W9" s="363">
        <v>0</v>
      </c>
      <c r="X9" s="363">
        <v>-237</v>
      </c>
      <c r="Y9" s="363">
        <v>28</v>
      </c>
      <c r="Z9" s="363">
        <v>0</v>
      </c>
      <c r="AA9" s="363">
        <v>0</v>
      </c>
      <c r="AB9" s="363">
        <v>-209</v>
      </c>
      <c r="AD9" s="363">
        <v>-30</v>
      </c>
      <c r="AG9" s="363">
        <v>-1064</v>
      </c>
      <c r="AH9" s="349"/>
      <c r="AJ9" s="363">
        <v>981</v>
      </c>
      <c r="AL9" s="363">
        <v>13047</v>
      </c>
      <c r="AN9" s="349"/>
      <c r="AO9" s="454">
        <v>3959</v>
      </c>
      <c r="AP9" s="478">
        <v>21.5</v>
      </c>
      <c r="AQ9" s="213"/>
      <c r="AS9" s="509">
        <v>2657</v>
      </c>
      <c r="AT9" s="349">
        <v>23226</v>
      </c>
      <c r="AU9" s="480">
        <v>-20569</v>
      </c>
      <c r="AV9" s="199">
        <v>14340</v>
      </c>
      <c r="AW9" s="199">
        <v>541</v>
      </c>
      <c r="AX9" s="199">
        <v>714</v>
      </c>
      <c r="AY9" s="199">
        <v>15595</v>
      </c>
      <c r="AZ9" s="199">
        <v>8107</v>
      </c>
      <c r="BA9" s="181">
        <v>0</v>
      </c>
      <c r="BB9" s="511">
        <v>26</v>
      </c>
      <c r="BC9" s="181">
        <v>37</v>
      </c>
      <c r="BD9" s="181">
        <v>13</v>
      </c>
      <c r="BE9" s="199">
        <v>3131</v>
      </c>
      <c r="BG9" s="183">
        <v>893</v>
      </c>
      <c r="BH9" s="199">
        <v>0</v>
      </c>
      <c r="BI9" s="183">
        <v>0</v>
      </c>
      <c r="BJ9" s="199">
        <v>2238</v>
      </c>
      <c r="BK9" s="199">
        <v>28</v>
      </c>
      <c r="BL9" s="183">
        <v>0</v>
      </c>
      <c r="BM9" s="183">
        <v>0</v>
      </c>
      <c r="BN9" s="199">
        <v>2266</v>
      </c>
      <c r="BP9" s="199">
        <v>2236</v>
      </c>
      <c r="BS9" s="211"/>
      <c r="BV9" s="514">
        <v>3167</v>
      </c>
      <c r="BX9" s="181">
        <v>12333</v>
      </c>
      <c r="BZ9" s="349"/>
      <c r="CB9" s="340"/>
      <c r="CC9" s="488">
        <v>21.5</v>
      </c>
      <c r="CD9" s="378"/>
      <c r="CE9" s="378"/>
      <c r="CF9" s="195"/>
      <c r="CG9" s="349"/>
      <c r="CH9" s="347"/>
      <c r="CI9" s="181">
        <v>4924</v>
      </c>
      <c r="CJ9" s="183">
        <v>0</v>
      </c>
      <c r="CK9" s="421">
        <v>7511.5694012892836</v>
      </c>
      <c r="CL9" s="494">
        <v>7751.5685178411468</v>
      </c>
      <c r="CM9" s="483">
        <v>3622.2949143201736</v>
      </c>
      <c r="CN9" s="483">
        <v>3526.4875350970515</v>
      </c>
      <c r="CO9" s="483">
        <v>3451.9954529171114</v>
      </c>
      <c r="CP9" s="433">
        <f t="shared" si="0"/>
        <v>-1509.5694012892836</v>
      </c>
      <c r="CQ9" s="212"/>
      <c r="CR9" s="212">
        <v>-248</v>
      </c>
      <c r="CS9" s="212">
        <v>-888</v>
      </c>
      <c r="CT9" s="183">
        <v>1</v>
      </c>
      <c r="CU9" s="183">
        <v>181</v>
      </c>
      <c r="CV9" s="485">
        <v>0</v>
      </c>
      <c r="CW9" s="214"/>
      <c r="CX9" s="422"/>
      <c r="CY9" s="475"/>
      <c r="CZ9" s="450"/>
      <c r="DA9" s="394"/>
      <c r="DB9" s="394"/>
      <c r="DC9" s="347"/>
      <c r="DD9" s="394"/>
      <c r="DE9" s="394"/>
      <c r="DF9" s="394"/>
      <c r="DG9" s="394"/>
      <c r="DH9" s="394"/>
    </row>
    <row r="10" spans="1:112" x14ac:dyDescent="0.25">
      <c r="A10" s="179">
        <v>46</v>
      </c>
      <c r="B10" s="181" t="s">
        <v>45</v>
      </c>
      <c r="C10" s="373">
        <v>1361</v>
      </c>
      <c r="D10" s="360">
        <v>21</v>
      </c>
      <c r="E10" s="213"/>
      <c r="G10" s="363">
        <v>1445</v>
      </c>
      <c r="H10" s="363">
        <v>10689</v>
      </c>
      <c r="I10" s="349"/>
      <c r="J10" s="363">
        <v>3580</v>
      </c>
      <c r="K10" s="363">
        <v>597</v>
      </c>
      <c r="L10" s="363">
        <v>536</v>
      </c>
      <c r="M10" s="363">
        <v>4713</v>
      </c>
      <c r="N10" s="363">
        <v>5247</v>
      </c>
      <c r="O10" s="363">
        <v>12</v>
      </c>
      <c r="P10" s="363">
        <v>0</v>
      </c>
      <c r="Q10" s="363">
        <v>92</v>
      </c>
      <c r="R10" s="363">
        <v>3</v>
      </c>
      <c r="S10" s="363">
        <v>817</v>
      </c>
      <c r="U10" s="363">
        <v>655</v>
      </c>
      <c r="V10" s="363">
        <v>0</v>
      </c>
      <c r="W10" s="363">
        <v>0</v>
      </c>
      <c r="X10" s="363">
        <v>162</v>
      </c>
      <c r="Y10" s="363">
        <v>0</v>
      </c>
      <c r="Z10" s="363">
        <v>0</v>
      </c>
      <c r="AA10" s="363">
        <v>0</v>
      </c>
      <c r="AB10" s="363">
        <v>162</v>
      </c>
      <c r="AD10" s="363">
        <v>6025</v>
      </c>
      <c r="AG10" s="363">
        <v>-550</v>
      </c>
      <c r="AH10" s="349"/>
      <c r="AJ10" s="363">
        <v>2869</v>
      </c>
      <c r="AL10" s="363">
        <v>0</v>
      </c>
      <c r="AN10" s="349"/>
      <c r="AO10" s="454">
        <v>1369</v>
      </c>
      <c r="AP10" s="478">
        <v>21</v>
      </c>
      <c r="AQ10" s="213"/>
      <c r="AS10" s="509">
        <v>1564</v>
      </c>
      <c r="AT10" s="349">
        <v>10567</v>
      </c>
      <c r="AU10" s="480">
        <v>-9003</v>
      </c>
      <c r="AV10" s="199">
        <v>3472</v>
      </c>
      <c r="AW10" s="199">
        <v>680</v>
      </c>
      <c r="AX10" s="199">
        <v>490</v>
      </c>
      <c r="AY10" s="199">
        <v>4642</v>
      </c>
      <c r="AZ10" s="199">
        <v>5745</v>
      </c>
      <c r="BA10" s="181">
        <v>8</v>
      </c>
      <c r="BB10" s="511">
        <v>0</v>
      </c>
      <c r="BC10" s="181">
        <v>111</v>
      </c>
      <c r="BD10" s="181">
        <v>1</v>
      </c>
      <c r="BE10" s="199">
        <v>1502</v>
      </c>
      <c r="BG10" s="183">
        <v>573</v>
      </c>
      <c r="BH10" s="183">
        <v>0</v>
      </c>
      <c r="BI10" s="183">
        <v>0</v>
      </c>
      <c r="BJ10" s="199">
        <v>929</v>
      </c>
      <c r="BK10" s="183">
        <v>0</v>
      </c>
      <c r="BL10" s="183">
        <v>0</v>
      </c>
      <c r="BM10" s="199">
        <v>0</v>
      </c>
      <c r="BN10" s="199">
        <v>929</v>
      </c>
      <c r="BP10" s="199">
        <v>6955</v>
      </c>
      <c r="BS10" s="211"/>
      <c r="BV10" s="514">
        <v>4497</v>
      </c>
      <c r="BX10" s="181">
        <v>0</v>
      </c>
      <c r="BZ10" s="349"/>
      <c r="CB10" s="340"/>
      <c r="CC10" s="488">
        <v>21</v>
      </c>
      <c r="CD10" s="378"/>
      <c r="CE10" s="378"/>
      <c r="CF10" s="195"/>
      <c r="CG10" s="349"/>
      <c r="CI10" s="181">
        <v>4469</v>
      </c>
      <c r="CJ10" s="183">
        <v>0</v>
      </c>
      <c r="CK10" s="421">
        <v>5579.5817551985365</v>
      </c>
      <c r="CL10" s="494">
        <v>5860.4819574374415</v>
      </c>
      <c r="CM10" s="483">
        <v>1397.33468463906</v>
      </c>
      <c r="CN10" s="483">
        <v>1399.7071201350968</v>
      </c>
      <c r="CO10" s="483">
        <v>1449.5183257194817</v>
      </c>
      <c r="CP10" s="433">
        <f t="shared" si="0"/>
        <v>-332.58175519853648</v>
      </c>
      <c r="CQ10" s="212"/>
      <c r="CR10" s="212">
        <v>-69</v>
      </c>
      <c r="CS10" s="212">
        <v>-275</v>
      </c>
      <c r="CT10" s="183">
        <v>0</v>
      </c>
      <c r="CU10" s="183">
        <v>130</v>
      </c>
      <c r="CV10" s="485">
        <v>25</v>
      </c>
      <c r="CX10" s="422"/>
      <c r="CY10" s="475"/>
      <c r="CZ10" s="450"/>
      <c r="DA10" s="394"/>
      <c r="DB10" s="394"/>
      <c r="DC10" s="347"/>
      <c r="DD10" s="394"/>
      <c r="DE10" s="394"/>
      <c r="DF10" s="394"/>
      <c r="DG10" s="394"/>
      <c r="DH10" s="394"/>
    </row>
    <row r="11" spans="1:112" x14ac:dyDescent="0.25">
      <c r="A11" s="179">
        <v>47</v>
      </c>
      <c r="B11" s="181" t="s">
        <v>46</v>
      </c>
      <c r="C11" s="373">
        <v>1838</v>
      </c>
      <c r="D11" s="360">
        <v>21.25</v>
      </c>
      <c r="E11" s="213"/>
      <c r="G11" s="363">
        <v>2496</v>
      </c>
      <c r="H11" s="363">
        <v>17495</v>
      </c>
      <c r="I11" s="349"/>
      <c r="J11" s="363">
        <v>5043</v>
      </c>
      <c r="K11" s="363">
        <v>391</v>
      </c>
      <c r="L11" s="363">
        <v>829</v>
      </c>
      <c r="M11" s="363">
        <v>6263</v>
      </c>
      <c r="N11" s="363">
        <v>8789</v>
      </c>
      <c r="O11" s="363">
        <v>5</v>
      </c>
      <c r="P11" s="363">
        <v>37</v>
      </c>
      <c r="Q11" s="363">
        <v>587</v>
      </c>
      <c r="R11" s="363">
        <v>211</v>
      </c>
      <c r="S11" s="363">
        <v>397</v>
      </c>
      <c r="U11" s="363">
        <v>366</v>
      </c>
      <c r="V11" s="363">
        <v>0</v>
      </c>
      <c r="W11" s="363">
        <v>0</v>
      </c>
      <c r="X11" s="363">
        <v>31</v>
      </c>
      <c r="Y11" s="363">
        <v>-40</v>
      </c>
      <c r="Z11" s="363">
        <v>41</v>
      </c>
      <c r="AA11" s="363">
        <v>0</v>
      </c>
      <c r="AB11" s="363">
        <v>32</v>
      </c>
      <c r="AD11" s="363">
        <v>1478</v>
      </c>
      <c r="AG11" s="363">
        <v>-938</v>
      </c>
      <c r="AH11" s="349"/>
      <c r="AJ11" s="363">
        <v>49</v>
      </c>
      <c r="AL11" s="363">
        <v>4145</v>
      </c>
      <c r="AN11" s="349"/>
      <c r="AO11" s="454">
        <v>1808</v>
      </c>
      <c r="AP11" s="478">
        <v>21.25</v>
      </c>
      <c r="AQ11" s="213"/>
      <c r="AS11" s="509">
        <v>2399</v>
      </c>
      <c r="AT11" s="349">
        <v>17630</v>
      </c>
      <c r="AU11" s="480">
        <v>-15231</v>
      </c>
      <c r="AV11" s="199">
        <v>5173</v>
      </c>
      <c r="AW11" s="199">
        <v>456</v>
      </c>
      <c r="AX11" s="199">
        <v>765</v>
      </c>
      <c r="AY11" s="199">
        <v>6394</v>
      </c>
      <c r="AZ11" s="199">
        <v>9753</v>
      </c>
      <c r="BA11" s="181">
        <v>5</v>
      </c>
      <c r="BB11" s="511">
        <v>19</v>
      </c>
      <c r="BC11" s="181">
        <v>449</v>
      </c>
      <c r="BD11" s="181">
        <v>194</v>
      </c>
      <c r="BE11" s="199">
        <v>1157</v>
      </c>
      <c r="BG11" s="183">
        <v>510</v>
      </c>
      <c r="BH11" s="183">
        <v>0</v>
      </c>
      <c r="BI11" s="183">
        <v>0</v>
      </c>
      <c r="BJ11" s="199">
        <v>647</v>
      </c>
      <c r="BK11" s="183">
        <v>2</v>
      </c>
      <c r="BL11" s="183">
        <v>0</v>
      </c>
      <c r="BM11" s="183">
        <v>0</v>
      </c>
      <c r="BN11" s="199">
        <v>649</v>
      </c>
      <c r="BP11" s="199">
        <v>2127</v>
      </c>
      <c r="BS11" s="211"/>
      <c r="BV11" s="514">
        <v>214</v>
      </c>
      <c r="BX11" s="181">
        <v>4995</v>
      </c>
      <c r="BZ11" s="349"/>
      <c r="CB11" s="340"/>
      <c r="CC11" s="488">
        <v>21.25</v>
      </c>
      <c r="CD11" s="378"/>
      <c r="CE11" s="378"/>
      <c r="CF11" s="195"/>
      <c r="CG11" s="349"/>
      <c r="CH11" s="347"/>
      <c r="CI11" s="181">
        <v>7672</v>
      </c>
      <c r="CJ11" s="183">
        <v>0</v>
      </c>
      <c r="CK11" s="421">
        <v>9691.2575779590497</v>
      </c>
      <c r="CL11" s="494">
        <v>9759.1251051007876</v>
      </c>
      <c r="CM11" s="483">
        <v>3845.8104506490076</v>
      </c>
      <c r="CN11" s="483">
        <v>4007.2793585373811</v>
      </c>
      <c r="CO11" s="483">
        <v>4047.3818156634034</v>
      </c>
      <c r="CP11" s="433">
        <f t="shared" si="0"/>
        <v>-902.25757795904974</v>
      </c>
      <c r="CQ11" s="212"/>
      <c r="CR11" s="212">
        <v>-129</v>
      </c>
      <c r="CS11" s="212">
        <v>-1675</v>
      </c>
      <c r="CT11" s="183">
        <v>119</v>
      </c>
      <c r="CU11" s="183">
        <v>144</v>
      </c>
      <c r="CV11" s="485">
        <v>-39</v>
      </c>
      <c r="CX11" s="422"/>
      <c r="CY11" s="475"/>
      <c r="CZ11" s="450"/>
      <c r="DA11" s="394"/>
      <c r="DB11" s="394"/>
      <c r="DC11" s="347"/>
      <c r="DD11" s="394"/>
      <c r="DE11" s="394"/>
      <c r="DF11" s="394"/>
      <c r="DG11" s="394"/>
      <c r="DH11" s="394"/>
    </row>
    <row r="12" spans="1:112" x14ac:dyDescent="0.25">
      <c r="A12" s="179">
        <v>49</v>
      </c>
      <c r="B12" s="181" t="s">
        <v>47</v>
      </c>
      <c r="C12" s="373">
        <v>289731</v>
      </c>
      <c r="D12" s="360">
        <v>18</v>
      </c>
      <c r="E12" s="213"/>
      <c r="G12" s="363">
        <v>430516</v>
      </c>
      <c r="H12" s="363">
        <v>1886234</v>
      </c>
      <c r="I12" s="349"/>
      <c r="J12" s="363">
        <v>1272287</v>
      </c>
      <c r="K12" s="363">
        <v>128604</v>
      </c>
      <c r="L12" s="363">
        <v>120293</v>
      </c>
      <c r="M12" s="363">
        <v>1521184</v>
      </c>
      <c r="N12" s="363">
        <v>60874</v>
      </c>
      <c r="O12" s="363">
        <v>15524</v>
      </c>
      <c r="P12" s="363">
        <v>8630</v>
      </c>
      <c r="Q12" s="363">
        <v>39724</v>
      </c>
      <c r="R12" s="363">
        <v>1546</v>
      </c>
      <c r="S12" s="363">
        <v>171412</v>
      </c>
      <c r="U12" s="363">
        <v>178942</v>
      </c>
      <c r="V12" s="363">
        <v>0</v>
      </c>
      <c r="W12" s="363">
        <v>0</v>
      </c>
      <c r="X12" s="363">
        <v>-7530</v>
      </c>
      <c r="Y12" s="363">
        <v>-2232</v>
      </c>
      <c r="Z12" s="363">
        <v>0</v>
      </c>
      <c r="AA12" s="363">
        <v>15025</v>
      </c>
      <c r="AB12" s="363">
        <v>5263</v>
      </c>
      <c r="AD12" s="363">
        <v>511808</v>
      </c>
      <c r="AG12" s="363">
        <v>-201693</v>
      </c>
      <c r="AH12" s="349"/>
      <c r="AJ12" s="363">
        <v>893451</v>
      </c>
      <c r="AL12" s="363">
        <v>988922</v>
      </c>
      <c r="AN12" s="349"/>
      <c r="AO12" s="454">
        <v>292796</v>
      </c>
      <c r="AP12" s="478">
        <v>18</v>
      </c>
      <c r="AQ12" s="213"/>
      <c r="AS12" s="509">
        <v>416164</v>
      </c>
      <c r="AT12" s="349">
        <v>1942554</v>
      </c>
      <c r="AU12" s="480">
        <v>-1526390</v>
      </c>
      <c r="AV12" s="199">
        <v>1356824</v>
      </c>
      <c r="AW12" s="199">
        <v>136178</v>
      </c>
      <c r="AX12" s="199">
        <v>112338</v>
      </c>
      <c r="AY12" s="199">
        <v>1605340</v>
      </c>
      <c r="AZ12" s="199">
        <v>205087</v>
      </c>
      <c r="BA12" s="181">
        <v>15430</v>
      </c>
      <c r="BB12" s="511">
        <v>9340</v>
      </c>
      <c r="BC12" s="181">
        <v>23811</v>
      </c>
      <c r="BD12" s="181">
        <v>9522</v>
      </c>
      <c r="BE12" s="199">
        <v>304416</v>
      </c>
      <c r="BG12" s="183">
        <v>175319</v>
      </c>
      <c r="BH12" s="183">
        <v>0</v>
      </c>
      <c r="BI12" s="199">
        <v>0</v>
      </c>
      <c r="BJ12" s="199">
        <v>129097</v>
      </c>
      <c r="BK12" s="199">
        <v>-1232</v>
      </c>
      <c r="BL12" s="199">
        <v>0</v>
      </c>
      <c r="BM12" s="199">
        <v>15019</v>
      </c>
      <c r="BN12" s="199">
        <v>142884</v>
      </c>
      <c r="BP12" s="199">
        <v>637571</v>
      </c>
      <c r="BS12" s="211"/>
      <c r="BV12" s="514">
        <v>1134796</v>
      </c>
      <c r="BX12" s="181">
        <v>1240501</v>
      </c>
      <c r="BZ12" s="349"/>
      <c r="CB12" s="340"/>
      <c r="CC12" s="488">
        <v>18</v>
      </c>
      <c r="CD12" s="378"/>
      <c r="CE12" s="378"/>
      <c r="CF12" s="195"/>
      <c r="CG12" s="349"/>
      <c r="CI12" s="181">
        <v>24390</v>
      </c>
      <c r="CJ12" s="183">
        <v>0</v>
      </c>
      <c r="CK12" s="421">
        <v>137649.74204439076</v>
      </c>
      <c r="CL12" s="494">
        <v>135975.90638115341</v>
      </c>
      <c r="CM12" s="483">
        <v>285739.20982791309</v>
      </c>
      <c r="CN12" s="483">
        <v>295517.13139159331</v>
      </c>
      <c r="CO12" s="483">
        <v>303641.17560605565</v>
      </c>
      <c r="CP12" s="433">
        <f t="shared" si="0"/>
        <v>-76775.742044390761</v>
      </c>
      <c r="CQ12" s="212"/>
      <c r="CR12" s="212">
        <v>-68980</v>
      </c>
      <c r="CS12" s="212">
        <v>-424525</v>
      </c>
      <c r="CT12" s="183">
        <v>82341</v>
      </c>
      <c r="CU12" s="183">
        <v>71141</v>
      </c>
      <c r="CV12" s="485">
        <v>-22098</v>
      </c>
      <c r="CX12" s="422"/>
      <c r="CY12" s="475"/>
      <c r="CZ12" s="450"/>
      <c r="DA12" s="394"/>
      <c r="DB12" s="394"/>
      <c r="DC12" s="347"/>
      <c r="DD12" s="394"/>
      <c r="DE12" s="394"/>
      <c r="DF12" s="394"/>
      <c r="DG12" s="394"/>
      <c r="DH12" s="394"/>
    </row>
    <row r="13" spans="1:112" x14ac:dyDescent="0.25">
      <c r="A13" s="179">
        <v>50</v>
      </c>
      <c r="B13" s="181" t="s">
        <v>48</v>
      </c>
      <c r="C13" s="373">
        <v>11632</v>
      </c>
      <c r="D13" s="360">
        <v>20.5</v>
      </c>
      <c r="E13" s="213"/>
      <c r="F13" s="182"/>
      <c r="G13" s="363">
        <v>10629</v>
      </c>
      <c r="H13" s="363">
        <v>78529</v>
      </c>
      <c r="I13" s="349"/>
      <c r="J13" s="363">
        <v>38036</v>
      </c>
      <c r="K13" s="363">
        <v>2057</v>
      </c>
      <c r="L13" s="363">
        <v>3194</v>
      </c>
      <c r="M13" s="363">
        <v>43287</v>
      </c>
      <c r="N13" s="363">
        <v>24118</v>
      </c>
      <c r="O13" s="363">
        <v>23</v>
      </c>
      <c r="P13" s="363">
        <v>61</v>
      </c>
      <c r="Q13" s="363">
        <v>143</v>
      </c>
      <c r="R13" s="363">
        <v>133</v>
      </c>
      <c r="S13" s="363">
        <v>-523</v>
      </c>
      <c r="T13" s="182"/>
      <c r="U13" s="363">
        <v>3726</v>
      </c>
      <c r="V13" s="363">
        <v>0</v>
      </c>
      <c r="W13" s="363">
        <v>0</v>
      </c>
      <c r="X13" s="363">
        <v>-4249</v>
      </c>
      <c r="Y13" s="363">
        <v>21</v>
      </c>
      <c r="Z13" s="363">
        <v>0</v>
      </c>
      <c r="AA13" s="363">
        <v>0</v>
      </c>
      <c r="AB13" s="363">
        <v>-4228</v>
      </c>
      <c r="AC13" s="182"/>
      <c r="AD13" s="363">
        <v>-290</v>
      </c>
      <c r="AE13" s="182"/>
      <c r="AF13" s="182"/>
      <c r="AG13" s="363">
        <v>-7662</v>
      </c>
      <c r="AH13" s="349"/>
      <c r="AI13" s="182"/>
      <c r="AJ13" s="363">
        <v>2040</v>
      </c>
      <c r="AK13" s="182"/>
      <c r="AL13" s="363">
        <v>40882</v>
      </c>
      <c r="AM13" s="182"/>
      <c r="AN13" s="349"/>
      <c r="AO13" s="454">
        <v>11483</v>
      </c>
      <c r="AP13" s="478">
        <v>21</v>
      </c>
      <c r="AQ13" s="213"/>
      <c r="AR13" s="182"/>
      <c r="AS13" s="509">
        <v>10855</v>
      </c>
      <c r="AT13" s="349">
        <v>77313</v>
      </c>
      <c r="AU13" s="480">
        <v>-66458</v>
      </c>
      <c r="AV13" s="199">
        <v>40534</v>
      </c>
      <c r="AW13" s="199">
        <v>2487</v>
      </c>
      <c r="AX13" s="199">
        <v>2814</v>
      </c>
      <c r="AY13" s="199">
        <v>45835</v>
      </c>
      <c r="AZ13" s="199">
        <v>28546</v>
      </c>
      <c r="BA13" s="181">
        <v>21</v>
      </c>
      <c r="BB13" s="511">
        <v>150</v>
      </c>
      <c r="BC13" s="181">
        <v>137</v>
      </c>
      <c r="BD13" s="181">
        <v>5</v>
      </c>
      <c r="BE13" s="199">
        <v>7926</v>
      </c>
      <c r="BF13" s="182"/>
      <c r="BG13" s="183">
        <v>4174</v>
      </c>
      <c r="BH13" s="183">
        <v>0</v>
      </c>
      <c r="BI13" s="183">
        <v>0</v>
      </c>
      <c r="BJ13" s="199">
        <v>3752</v>
      </c>
      <c r="BK13" s="183">
        <v>20</v>
      </c>
      <c r="BL13" s="183">
        <v>0</v>
      </c>
      <c r="BM13" s="183">
        <v>0</v>
      </c>
      <c r="BN13" s="199">
        <v>3772</v>
      </c>
      <c r="BO13" s="182"/>
      <c r="BP13" s="199">
        <v>3482</v>
      </c>
      <c r="BQ13" s="182"/>
      <c r="BR13" s="182"/>
      <c r="BS13" s="211"/>
      <c r="BT13" s="182"/>
      <c r="BU13" s="182"/>
      <c r="BV13" s="514">
        <v>3398</v>
      </c>
      <c r="BW13" s="182"/>
      <c r="BX13" s="181">
        <v>39601</v>
      </c>
      <c r="BY13" s="182"/>
      <c r="BZ13" s="349"/>
      <c r="CA13" s="182"/>
      <c r="CB13" s="340"/>
      <c r="CC13" s="488">
        <v>21</v>
      </c>
      <c r="CD13" s="378"/>
      <c r="CE13" s="378"/>
      <c r="CF13" s="195"/>
      <c r="CG13" s="349"/>
      <c r="CI13" s="181">
        <v>22268</v>
      </c>
      <c r="CJ13" s="183">
        <v>0</v>
      </c>
      <c r="CK13" s="421">
        <v>26517.972095277237</v>
      </c>
      <c r="CL13" s="494">
        <v>26928.948161876979</v>
      </c>
      <c r="CM13" s="483">
        <v>5074.2960206703438</v>
      </c>
      <c r="CN13" s="483">
        <v>4973.5485448935333</v>
      </c>
      <c r="CO13" s="483">
        <v>4900.1691516971723</v>
      </c>
      <c r="CP13" s="433">
        <f t="shared" si="0"/>
        <v>-2399.9720952772368</v>
      </c>
      <c r="CQ13" s="212"/>
      <c r="CR13" s="212">
        <v>0</v>
      </c>
      <c r="CS13" s="212">
        <v>-5340</v>
      </c>
      <c r="CT13" s="183">
        <v>13</v>
      </c>
      <c r="CU13" s="183">
        <v>265</v>
      </c>
      <c r="CV13" s="485">
        <v>135</v>
      </c>
      <c r="CX13" s="422"/>
      <c r="CY13" s="475"/>
      <c r="CZ13" s="450"/>
      <c r="DA13" s="394"/>
      <c r="DB13" s="394"/>
      <c r="DC13" s="347"/>
      <c r="DD13" s="394"/>
      <c r="DE13" s="394"/>
      <c r="DF13" s="394"/>
      <c r="DG13" s="394"/>
      <c r="DH13" s="394"/>
    </row>
    <row r="14" spans="1:112" x14ac:dyDescent="0.25">
      <c r="A14" s="179">
        <v>51</v>
      </c>
      <c r="B14" s="181" t="s">
        <v>49</v>
      </c>
      <c r="C14" s="373">
        <v>9402</v>
      </c>
      <c r="D14" s="360">
        <v>18</v>
      </c>
      <c r="E14" s="213"/>
      <c r="G14" s="363">
        <v>8388</v>
      </c>
      <c r="H14" s="363">
        <v>70036</v>
      </c>
      <c r="I14" s="349"/>
      <c r="J14" s="363">
        <v>28952</v>
      </c>
      <c r="K14" s="363">
        <v>2581</v>
      </c>
      <c r="L14" s="363">
        <v>20527</v>
      </c>
      <c r="M14" s="363">
        <v>52060</v>
      </c>
      <c r="N14" s="363">
        <v>11120</v>
      </c>
      <c r="O14" s="363">
        <v>63</v>
      </c>
      <c r="P14" s="363">
        <v>35</v>
      </c>
      <c r="Q14" s="363">
        <v>2145</v>
      </c>
      <c r="R14" s="363">
        <v>375</v>
      </c>
      <c r="S14" s="363">
        <v>3330</v>
      </c>
      <c r="U14" s="363">
        <v>4915</v>
      </c>
      <c r="V14" s="363">
        <v>0</v>
      </c>
      <c r="W14" s="363">
        <v>0</v>
      </c>
      <c r="X14" s="363">
        <v>-1585</v>
      </c>
      <c r="Y14" s="363">
        <v>3</v>
      </c>
      <c r="Z14" s="363">
        <v>-112</v>
      </c>
      <c r="AA14" s="363">
        <v>0</v>
      </c>
      <c r="AB14" s="363">
        <v>-1694</v>
      </c>
      <c r="AD14" s="363">
        <v>73816</v>
      </c>
      <c r="AG14" s="363">
        <v>-4103</v>
      </c>
      <c r="AH14" s="349"/>
      <c r="AJ14" s="363">
        <v>22913</v>
      </c>
      <c r="AL14" s="363">
        <v>12112</v>
      </c>
      <c r="AN14" s="349"/>
      <c r="AO14" s="454">
        <v>9452</v>
      </c>
      <c r="AP14" s="478">
        <v>18</v>
      </c>
      <c r="AQ14" s="213"/>
      <c r="AS14" s="509">
        <v>7086</v>
      </c>
      <c r="AT14" s="349">
        <v>69110</v>
      </c>
      <c r="AU14" s="480">
        <v>-62024</v>
      </c>
      <c r="AV14" s="199">
        <v>28776</v>
      </c>
      <c r="AW14" s="199">
        <v>2667</v>
      </c>
      <c r="AX14" s="199">
        <v>19742</v>
      </c>
      <c r="AY14" s="199">
        <v>51185</v>
      </c>
      <c r="AZ14" s="199">
        <v>14150</v>
      </c>
      <c r="BA14" s="181">
        <v>44</v>
      </c>
      <c r="BB14" s="511">
        <v>107</v>
      </c>
      <c r="BC14" s="181">
        <v>895</v>
      </c>
      <c r="BD14" s="181">
        <v>285</v>
      </c>
      <c r="BE14" s="199">
        <v>3858</v>
      </c>
      <c r="BG14" s="183">
        <v>4715</v>
      </c>
      <c r="BH14" s="183">
        <v>0</v>
      </c>
      <c r="BI14" s="199">
        <v>0</v>
      </c>
      <c r="BJ14" s="199">
        <v>-857</v>
      </c>
      <c r="BK14" s="199">
        <v>3</v>
      </c>
      <c r="BL14" s="183">
        <v>166</v>
      </c>
      <c r="BM14" s="183">
        <v>0</v>
      </c>
      <c r="BN14" s="199">
        <v>-688</v>
      </c>
      <c r="BP14" s="199">
        <v>73022</v>
      </c>
      <c r="BS14" s="211"/>
      <c r="BV14" s="514">
        <v>23555</v>
      </c>
      <c r="BX14" s="181">
        <v>10455</v>
      </c>
      <c r="BZ14" s="349"/>
      <c r="CB14" s="340"/>
      <c r="CC14" s="488">
        <v>18</v>
      </c>
      <c r="CD14" s="378"/>
      <c r="CE14" s="378"/>
      <c r="CF14" s="195"/>
      <c r="CG14" s="349"/>
      <c r="CI14" s="181">
        <v>5750</v>
      </c>
      <c r="CJ14" s="183">
        <v>0</v>
      </c>
      <c r="CK14" s="421">
        <v>12709.009744968398</v>
      </c>
      <c r="CL14" s="494">
        <v>13460.349751676315</v>
      </c>
      <c r="CM14" s="483">
        <v>-2650.8663553722809</v>
      </c>
      <c r="CN14" s="483">
        <v>-2478.5765490889221</v>
      </c>
      <c r="CO14" s="483">
        <v>-2477.0274376503753</v>
      </c>
      <c r="CP14" s="433">
        <f t="shared" si="0"/>
        <v>-1589.0097449683981</v>
      </c>
      <c r="CQ14" s="212"/>
      <c r="CR14" s="212">
        <v>-87</v>
      </c>
      <c r="CS14" s="212">
        <v>-7380</v>
      </c>
      <c r="CT14" s="183">
        <v>0</v>
      </c>
      <c r="CU14" s="183">
        <v>3789</v>
      </c>
      <c r="CV14" s="485">
        <v>105</v>
      </c>
      <c r="CX14" s="422"/>
      <c r="CY14" s="475"/>
      <c r="CZ14" s="450"/>
      <c r="DA14" s="394"/>
      <c r="DB14" s="394"/>
      <c r="DC14" s="347"/>
      <c r="DD14" s="394"/>
      <c r="DE14" s="394"/>
      <c r="DF14" s="394"/>
      <c r="DG14" s="394"/>
      <c r="DH14" s="394"/>
    </row>
    <row r="15" spans="1:112" x14ac:dyDescent="0.25">
      <c r="A15" s="179">
        <v>52</v>
      </c>
      <c r="B15" s="181" t="s">
        <v>50</v>
      </c>
      <c r="C15" s="373">
        <v>2425</v>
      </c>
      <c r="D15" s="360">
        <v>21.5</v>
      </c>
      <c r="E15" s="213"/>
      <c r="G15" s="363">
        <v>1744</v>
      </c>
      <c r="H15" s="363">
        <v>19558</v>
      </c>
      <c r="I15" s="349"/>
      <c r="J15" s="363">
        <v>6699</v>
      </c>
      <c r="K15" s="363">
        <v>584</v>
      </c>
      <c r="L15" s="363">
        <v>764</v>
      </c>
      <c r="M15" s="363">
        <v>8047</v>
      </c>
      <c r="N15" s="363">
        <v>8860</v>
      </c>
      <c r="O15" s="363">
        <v>58</v>
      </c>
      <c r="P15" s="363">
        <v>0</v>
      </c>
      <c r="Q15" s="363">
        <v>666</v>
      </c>
      <c r="R15" s="363">
        <v>87</v>
      </c>
      <c r="S15" s="363">
        <v>-270</v>
      </c>
      <c r="U15" s="363">
        <v>619</v>
      </c>
      <c r="V15" s="363">
        <v>0</v>
      </c>
      <c r="W15" s="363">
        <v>0</v>
      </c>
      <c r="X15" s="363">
        <v>-889</v>
      </c>
      <c r="Y15" s="363">
        <v>0</v>
      </c>
      <c r="Z15" s="363">
        <v>0</v>
      </c>
      <c r="AA15" s="363">
        <v>0</v>
      </c>
      <c r="AB15" s="363">
        <v>-889</v>
      </c>
      <c r="AD15" s="363">
        <v>3287</v>
      </c>
      <c r="AG15" s="363">
        <v>-1217</v>
      </c>
      <c r="AH15" s="349"/>
      <c r="AJ15" s="363">
        <v>6675</v>
      </c>
      <c r="AL15" s="363">
        <v>6500</v>
      </c>
      <c r="AN15" s="349"/>
      <c r="AO15" s="454">
        <v>2408</v>
      </c>
      <c r="AP15" s="478">
        <v>21.5</v>
      </c>
      <c r="AQ15" s="213"/>
      <c r="AS15" s="509">
        <v>1630</v>
      </c>
      <c r="AT15" s="349">
        <v>19394</v>
      </c>
      <c r="AU15" s="480">
        <v>-17764</v>
      </c>
      <c r="AV15" s="199">
        <v>6733</v>
      </c>
      <c r="AW15" s="199">
        <v>674</v>
      </c>
      <c r="AX15" s="199">
        <v>693</v>
      </c>
      <c r="AY15" s="199">
        <v>8100</v>
      </c>
      <c r="AZ15" s="199">
        <v>9715</v>
      </c>
      <c r="BA15" s="181">
        <v>70</v>
      </c>
      <c r="BB15" s="511">
        <v>1</v>
      </c>
      <c r="BC15" s="181">
        <v>670</v>
      </c>
      <c r="BD15" s="181">
        <v>495</v>
      </c>
      <c r="BE15" s="199">
        <v>295</v>
      </c>
      <c r="BG15" s="183">
        <v>744</v>
      </c>
      <c r="BH15" s="183">
        <v>0</v>
      </c>
      <c r="BI15" s="183">
        <v>0</v>
      </c>
      <c r="BJ15" s="199">
        <v>-449</v>
      </c>
      <c r="BK15" s="183">
        <v>0</v>
      </c>
      <c r="BL15" s="183">
        <v>0</v>
      </c>
      <c r="BM15" s="183">
        <v>0</v>
      </c>
      <c r="BN15" s="199">
        <v>-449</v>
      </c>
      <c r="BP15" s="199">
        <v>2838</v>
      </c>
      <c r="BS15" s="211"/>
      <c r="BV15" s="514">
        <v>7299</v>
      </c>
      <c r="BX15" s="181">
        <v>9700</v>
      </c>
      <c r="BZ15" s="349"/>
      <c r="CB15" s="340"/>
      <c r="CC15" s="488">
        <v>21.5</v>
      </c>
      <c r="CD15" s="378"/>
      <c r="CE15" s="378"/>
      <c r="CF15" s="195"/>
      <c r="CG15" s="349"/>
      <c r="CH15" s="347"/>
      <c r="CI15" s="181">
        <v>7542</v>
      </c>
      <c r="CJ15" s="183">
        <v>0</v>
      </c>
      <c r="CK15" s="421">
        <v>9649.4885730857131</v>
      </c>
      <c r="CL15" s="494">
        <v>9989.0537720345128</v>
      </c>
      <c r="CM15" s="483">
        <v>3228.3686323047141</v>
      </c>
      <c r="CN15" s="483">
        <v>3089.6259631327334</v>
      </c>
      <c r="CO15" s="483">
        <v>2985.3231635529655</v>
      </c>
      <c r="CP15" s="433">
        <f t="shared" si="0"/>
        <v>-789.48857308571314</v>
      </c>
      <c r="CQ15" s="212"/>
      <c r="CR15" s="212">
        <v>0</v>
      </c>
      <c r="CS15" s="212">
        <v>-1591</v>
      </c>
      <c r="CT15" s="183">
        <v>61</v>
      </c>
      <c r="CU15" s="183">
        <v>5</v>
      </c>
      <c r="CV15" s="485">
        <v>7</v>
      </c>
      <c r="CX15" s="422"/>
      <c r="CY15" s="475"/>
      <c r="CZ15" s="450"/>
      <c r="DA15" s="394"/>
      <c r="DB15" s="394"/>
      <c r="DC15" s="347"/>
      <c r="DD15" s="394"/>
      <c r="DE15" s="394"/>
      <c r="DF15" s="394"/>
      <c r="DG15" s="394"/>
      <c r="DH15" s="394"/>
    </row>
    <row r="16" spans="1:112" x14ac:dyDescent="0.25">
      <c r="A16" s="179">
        <v>61</v>
      </c>
      <c r="B16" s="181" t="s">
        <v>51</v>
      </c>
      <c r="C16" s="373">
        <v>16901</v>
      </c>
      <c r="D16" s="360">
        <v>20.5</v>
      </c>
      <c r="E16" s="213"/>
      <c r="G16" s="363">
        <v>18319</v>
      </c>
      <c r="H16" s="363">
        <v>114153</v>
      </c>
      <c r="I16" s="349"/>
      <c r="J16" s="363">
        <v>51722</v>
      </c>
      <c r="K16" s="363">
        <v>3679</v>
      </c>
      <c r="L16" s="363">
        <v>5305</v>
      </c>
      <c r="M16" s="363">
        <v>60706</v>
      </c>
      <c r="N16" s="363">
        <v>40832</v>
      </c>
      <c r="O16" s="363">
        <v>60</v>
      </c>
      <c r="P16" s="363">
        <v>304</v>
      </c>
      <c r="Q16" s="363">
        <v>94</v>
      </c>
      <c r="R16" s="363">
        <v>34</v>
      </c>
      <c r="S16" s="363">
        <v>5520</v>
      </c>
      <c r="U16" s="363">
        <v>6058</v>
      </c>
      <c r="V16" s="363">
        <v>100</v>
      </c>
      <c r="W16" s="363">
        <v>125</v>
      </c>
      <c r="X16" s="363">
        <v>-563</v>
      </c>
      <c r="Y16" s="363">
        <v>94</v>
      </c>
      <c r="Z16" s="363">
        <v>0</v>
      </c>
      <c r="AA16" s="363">
        <v>0</v>
      </c>
      <c r="AB16" s="363">
        <v>-469</v>
      </c>
      <c r="AD16" s="363">
        <v>8139</v>
      </c>
      <c r="AG16" s="363">
        <v>-5826</v>
      </c>
      <c r="AH16" s="349"/>
      <c r="AJ16" s="363">
        <v>22749</v>
      </c>
      <c r="AL16" s="363">
        <v>53650</v>
      </c>
      <c r="AN16" s="349"/>
      <c r="AO16" s="454">
        <v>16800</v>
      </c>
      <c r="AP16" s="478">
        <v>20.5</v>
      </c>
      <c r="AQ16" s="213"/>
      <c r="AS16" s="509">
        <v>18363</v>
      </c>
      <c r="AT16" s="349">
        <v>116977</v>
      </c>
      <c r="AU16" s="480">
        <v>-98614</v>
      </c>
      <c r="AV16" s="199">
        <v>52863</v>
      </c>
      <c r="AW16" s="199">
        <v>3955</v>
      </c>
      <c r="AX16" s="199">
        <v>4744</v>
      </c>
      <c r="AY16" s="199">
        <v>61562</v>
      </c>
      <c r="AZ16" s="199">
        <v>48333</v>
      </c>
      <c r="BA16" s="181">
        <v>2</v>
      </c>
      <c r="BB16" s="511">
        <v>436</v>
      </c>
      <c r="BC16" s="181">
        <v>34</v>
      </c>
      <c r="BD16" s="181">
        <v>7</v>
      </c>
      <c r="BE16" s="199">
        <v>10874</v>
      </c>
      <c r="BG16" s="183">
        <v>7583</v>
      </c>
      <c r="BH16" s="183">
        <v>0</v>
      </c>
      <c r="BI16" s="183">
        <v>-664</v>
      </c>
      <c r="BJ16" s="199">
        <v>3955</v>
      </c>
      <c r="BK16" s="199">
        <v>88</v>
      </c>
      <c r="BL16" s="199">
        <v>-3000</v>
      </c>
      <c r="BM16" s="183">
        <v>0</v>
      </c>
      <c r="BN16" s="199">
        <v>1043</v>
      </c>
      <c r="BP16" s="199">
        <v>9182</v>
      </c>
      <c r="BS16" s="211"/>
      <c r="BV16" s="514">
        <v>28377</v>
      </c>
      <c r="BX16" s="181">
        <v>52814</v>
      </c>
      <c r="BZ16" s="349"/>
      <c r="CB16" s="340"/>
      <c r="CC16" s="488">
        <v>20.5</v>
      </c>
      <c r="CD16" s="378"/>
      <c r="CE16" s="378"/>
      <c r="CF16" s="195"/>
      <c r="CG16" s="349"/>
      <c r="CI16" s="181">
        <v>30500</v>
      </c>
      <c r="CJ16" s="183">
        <v>0</v>
      </c>
      <c r="CK16" s="421">
        <v>46429.444664951967</v>
      </c>
      <c r="CL16" s="494">
        <v>48927.995792851172</v>
      </c>
      <c r="CM16" s="483">
        <v>10909.987739498971</v>
      </c>
      <c r="CN16" s="483">
        <v>10311.771020396622</v>
      </c>
      <c r="CO16" s="483">
        <v>9712.377582278672</v>
      </c>
      <c r="CP16" s="433">
        <f t="shared" si="0"/>
        <v>-5597.4446649519668</v>
      </c>
      <c r="CQ16" s="212"/>
      <c r="CR16" s="212">
        <v>-1085</v>
      </c>
      <c r="CS16" s="212">
        <v>-5724</v>
      </c>
      <c r="CT16" s="183">
        <v>34</v>
      </c>
      <c r="CU16" s="183">
        <v>132</v>
      </c>
      <c r="CV16" s="485">
        <v>123</v>
      </c>
      <c r="CX16" s="422"/>
      <c r="CY16" s="475"/>
      <c r="CZ16" s="450"/>
      <c r="DA16" s="394"/>
      <c r="DB16" s="394"/>
      <c r="DC16" s="347"/>
      <c r="DD16" s="394"/>
      <c r="DE16" s="394"/>
      <c r="DF16" s="394"/>
      <c r="DG16" s="394"/>
      <c r="DH16" s="394"/>
    </row>
    <row r="17" spans="1:112" x14ac:dyDescent="0.25">
      <c r="A17" s="179">
        <v>69</v>
      </c>
      <c r="B17" s="181" t="s">
        <v>52</v>
      </c>
      <c r="C17" s="373">
        <v>7010</v>
      </c>
      <c r="D17" s="360">
        <v>22.5</v>
      </c>
      <c r="E17" s="213"/>
      <c r="G17" s="363">
        <v>5171</v>
      </c>
      <c r="H17" s="363">
        <v>53348</v>
      </c>
      <c r="I17" s="349"/>
      <c r="J17" s="363">
        <v>20118</v>
      </c>
      <c r="K17" s="363">
        <v>1237</v>
      </c>
      <c r="L17" s="363">
        <v>2218</v>
      </c>
      <c r="M17" s="363">
        <v>23573</v>
      </c>
      <c r="N17" s="363">
        <v>23313</v>
      </c>
      <c r="O17" s="363">
        <v>3</v>
      </c>
      <c r="P17" s="363">
        <v>331</v>
      </c>
      <c r="Q17" s="363">
        <v>1656</v>
      </c>
      <c r="R17" s="363">
        <v>201</v>
      </c>
      <c r="S17" s="363">
        <v>-164</v>
      </c>
      <c r="U17" s="363">
        <v>2114</v>
      </c>
      <c r="V17" s="363">
        <v>0</v>
      </c>
      <c r="W17" s="363">
        <v>0</v>
      </c>
      <c r="X17" s="363">
        <v>-2278</v>
      </c>
      <c r="Y17" s="363">
        <v>85</v>
      </c>
      <c r="Z17" s="363">
        <v>0</v>
      </c>
      <c r="AA17" s="363">
        <v>0</v>
      </c>
      <c r="AB17" s="363">
        <v>-2193</v>
      </c>
      <c r="AD17" s="363">
        <v>-4277</v>
      </c>
      <c r="AG17" s="363">
        <v>-3364</v>
      </c>
      <c r="AH17" s="349"/>
      <c r="AJ17" s="363">
        <v>15479</v>
      </c>
      <c r="AL17" s="363">
        <v>39056</v>
      </c>
      <c r="AN17" s="349"/>
      <c r="AO17" s="454">
        <v>6896</v>
      </c>
      <c r="AP17" s="478">
        <v>22.5</v>
      </c>
      <c r="AQ17" s="213"/>
      <c r="AS17" s="509">
        <v>5280</v>
      </c>
      <c r="AT17" s="349">
        <v>52922</v>
      </c>
      <c r="AU17" s="480">
        <v>-47642</v>
      </c>
      <c r="AV17" s="199">
        <v>20221</v>
      </c>
      <c r="AW17" s="199">
        <v>1388</v>
      </c>
      <c r="AX17" s="199">
        <v>2015</v>
      </c>
      <c r="AY17" s="199">
        <v>23624</v>
      </c>
      <c r="AZ17" s="199">
        <v>27656</v>
      </c>
      <c r="BA17" s="181">
        <v>3</v>
      </c>
      <c r="BB17" s="511">
        <v>318</v>
      </c>
      <c r="BC17" s="181">
        <v>803</v>
      </c>
      <c r="BD17" s="181">
        <v>478</v>
      </c>
      <c r="BE17" s="199">
        <v>3648</v>
      </c>
      <c r="BG17" s="183">
        <v>2384</v>
      </c>
      <c r="BH17" s="199">
        <v>0</v>
      </c>
      <c r="BI17" s="183">
        <v>0</v>
      </c>
      <c r="BJ17" s="199">
        <v>1264</v>
      </c>
      <c r="BK17" s="199">
        <v>85</v>
      </c>
      <c r="BL17" s="199">
        <v>0</v>
      </c>
      <c r="BM17" s="199">
        <v>0</v>
      </c>
      <c r="BN17" s="199">
        <v>1349</v>
      </c>
      <c r="BP17" s="199">
        <v>-2928</v>
      </c>
      <c r="BS17" s="211"/>
      <c r="BV17" s="514">
        <v>15677</v>
      </c>
      <c r="BX17" s="181">
        <v>41851</v>
      </c>
      <c r="BZ17" s="349"/>
      <c r="CB17" s="340"/>
      <c r="CC17" s="488">
        <v>22.5</v>
      </c>
      <c r="CD17" s="378"/>
      <c r="CE17" s="378"/>
      <c r="CF17" s="195"/>
      <c r="CG17" s="349"/>
      <c r="CH17" s="347"/>
      <c r="CI17" s="181">
        <v>21546</v>
      </c>
      <c r="CJ17" s="183">
        <v>0</v>
      </c>
      <c r="CK17" s="421">
        <v>25531.864750332694</v>
      </c>
      <c r="CL17" s="494">
        <v>26467.454433318704</v>
      </c>
      <c r="CM17" s="483">
        <v>4897.1779775474788</v>
      </c>
      <c r="CN17" s="483">
        <v>4963.4117062955502</v>
      </c>
      <c r="CO17" s="483">
        <v>4844.6272260719325</v>
      </c>
      <c r="CP17" s="433">
        <f t="shared" si="0"/>
        <v>-2218.8647503326938</v>
      </c>
      <c r="CQ17" s="212"/>
      <c r="CR17" s="212">
        <v>-533</v>
      </c>
      <c r="CS17" s="212">
        <v>-3874</v>
      </c>
      <c r="CT17" s="183">
        <v>46</v>
      </c>
      <c r="CU17" s="183">
        <v>1403</v>
      </c>
      <c r="CV17" s="485">
        <v>0</v>
      </c>
      <c r="CX17" s="422"/>
      <c r="CY17" s="475"/>
      <c r="CZ17" s="450"/>
      <c r="DA17" s="394"/>
      <c r="DB17" s="394"/>
      <c r="DC17" s="347"/>
      <c r="DD17" s="394"/>
      <c r="DE17" s="394"/>
      <c r="DF17" s="394"/>
      <c r="DG17" s="394"/>
      <c r="DH17" s="394"/>
    </row>
    <row r="18" spans="1:112" x14ac:dyDescent="0.25">
      <c r="A18" s="179">
        <v>71</v>
      </c>
      <c r="B18" s="181" t="s">
        <v>53</v>
      </c>
      <c r="C18" s="373">
        <v>6758</v>
      </c>
      <c r="D18" s="360">
        <v>22</v>
      </c>
      <c r="E18" s="213"/>
      <c r="G18" s="363">
        <v>16163</v>
      </c>
      <c r="H18" s="363">
        <v>61497</v>
      </c>
      <c r="I18" s="349"/>
      <c r="J18" s="363">
        <v>18344</v>
      </c>
      <c r="K18" s="363">
        <v>1310</v>
      </c>
      <c r="L18" s="363">
        <v>1707</v>
      </c>
      <c r="M18" s="363">
        <v>21361</v>
      </c>
      <c r="N18" s="363">
        <v>24589</v>
      </c>
      <c r="O18" s="363">
        <v>140</v>
      </c>
      <c r="P18" s="363">
        <v>293</v>
      </c>
      <c r="Q18" s="363">
        <v>750</v>
      </c>
      <c r="R18" s="363">
        <v>222</v>
      </c>
      <c r="S18" s="363">
        <v>991</v>
      </c>
      <c r="U18" s="363">
        <v>1565</v>
      </c>
      <c r="V18" s="363">
        <v>0</v>
      </c>
      <c r="W18" s="363">
        <v>0</v>
      </c>
      <c r="X18" s="363">
        <v>-574</v>
      </c>
      <c r="Y18" s="363">
        <v>0</v>
      </c>
      <c r="Z18" s="363">
        <v>0</v>
      </c>
      <c r="AA18" s="363">
        <v>0</v>
      </c>
      <c r="AB18" s="363">
        <v>-574</v>
      </c>
      <c r="AD18" s="363">
        <v>3063</v>
      </c>
      <c r="AG18" s="363">
        <v>-708</v>
      </c>
      <c r="AH18" s="349"/>
      <c r="AJ18" s="363">
        <v>8045</v>
      </c>
      <c r="AL18" s="363">
        <v>27424</v>
      </c>
      <c r="AN18" s="349"/>
      <c r="AO18" s="454">
        <v>6667</v>
      </c>
      <c r="AP18" s="478">
        <v>22</v>
      </c>
      <c r="AQ18" s="213"/>
      <c r="AS18" s="509">
        <v>16857</v>
      </c>
      <c r="AT18" s="349">
        <v>62065</v>
      </c>
      <c r="AU18" s="480">
        <v>-45208</v>
      </c>
      <c r="AV18" s="199">
        <v>18864</v>
      </c>
      <c r="AW18" s="199">
        <v>1224</v>
      </c>
      <c r="AX18" s="199">
        <v>1488</v>
      </c>
      <c r="AY18" s="199">
        <v>21576</v>
      </c>
      <c r="AZ18" s="199">
        <v>26831</v>
      </c>
      <c r="BA18" s="181">
        <v>165</v>
      </c>
      <c r="BB18" s="511">
        <v>248</v>
      </c>
      <c r="BC18" s="181">
        <v>1457</v>
      </c>
      <c r="BD18" s="181">
        <v>1337</v>
      </c>
      <c r="BE18" s="199">
        <v>3236</v>
      </c>
      <c r="BG18" s="183">
        <v>1360</v>
      </c>
      <c r="BH18" s="183">
        <v>0</v>
      </c>
      <c r="BI18" s="183">
        <v>0</v>
      </c>
      <c r="BJ18" s="199">
        <v>1876</v>
      </c>
      <c r="BK18" s="183">
        <v>0</v>
      </c>
      <c r="BL18" s="183">
        <v>0</v>
      </c>
      <c r="BM18" s="183">
        <v>0</v>
      </c>
      <c r="BN18" s="199">
        <v>1876</v>
      </c>
      <c r="BP18" s="199">
        <v>4938</v>
      </c>
      <c r="BS18" s="211"/>
      <c r="BV18" s="514">
        <v>9032</v>
      </c>
      <c r="BX18" s="181">
        <v>31001</v>
      </c>
      <c r="BZ18" s="349"/>
      <c r="CB18" s="340"/>
      <c r="CC18" s="488">
        <v>22</v>
      </c>
      <c r="CD18" s="378"/>
      <c r="CE18" s="378"/>
      <c r="CF18" s="195"/>
      <c r="CG18" s="349"/>
      <c r="CI18" s="181">
        <v>19865</v>
      </c>
      <c r="CJ18" s="183">
        <v>0</v>
      </c>
      <c r="CK18" s="421">
        <v>26183.201274527484</v>
      </c>
      <c r="CL18" s="494">
        <v>28060.576325998027</v>
      </c>
      <c r="CM18" s="483">
        <v>9877.7052200188518</v>
      </c>
      <c r="CN18" s="483">
        <v>9893.4514284710986</v>
      </c>
      <c r="CO18" s="483">
        <v>9885.2083985997197</v>
      </c>
      <c r="CP18" s="433">
        <f t="shared" si="0"/>
        <v>-1594.2012745274842</v>
      </c>
      <c r="CQ18" s="212"/>
      <c r="CR18" s="212">
        <v>-525</v>
      </c>
      <c r="CS18" s="212">
        <v>-7931</v>
      </c>
      <c r="CT18" s="183">
        <v>196</v>
      </c>
      <c r="CU18" s="183">
        <v>743</v>
      </c>
      <c r="CV18" s="485">
        <v>0</v>
      </c>
      <c r="CX18" s="422"/>
      <c r="CY18" s="475"/>
      <c r="CZ18" s="450"/>
      <c r="DA18" s="394"/>
      <c r="DB18" s="394"/>
      <c r="DC18" s="347"/>
      <c r="DD18" s="394"/>
      <c r="DE18" s="394"/>
      <c r="DF18" s="394"/>
      <c r="DG18" s="394"/>
      <c r="DH18" s="394"/>
    </row>
    <row r="19" spans="1:112" x14ac:dyDescent="0.25">
      <c r="A19" s="179">
        <v>72</v>
      </c>
      <c r="B19" s="181" t="s">
        <v>54</v>
      </c>
      <c r="C19" s="373">
        <v>959</v>
      </c>
      <c r="D19" s="360">
        <v>20.5</v>
      </c>
      <c r="E19" s="213"/>
      <c r="G19" s="363">
        <v>1482</v>
      </c>
      <c r="H19" s="363">
        <v>8551</v>
      </c>
      <c r="I19" s="349"/>
      <c r="J19" s="363">
        <v>3153</v>
      </c>
      <c r="K19" s="363">
        <v>98</v>
      </c>
      <c r="L19" s="363">
        <v>340</v>
      </c>
      <c r="M19" s="363">
        <v>3591</v>
      </c>
      <c r="N19" s="363">
        <v>3426</v>
      </c>
      <c r="O19" s="363">
        <v>5</v>
      </c>
      <c r="P19" s="363">
        <v>17</v>
      </c>
      <c r="Q19" s="363">
        <v>1</v>
      </c>
      <c r="R19" s="363">
        <v>3</v>
      </c>
      <c r="S19" s="363">
        <v>-66</v>
      </c>
      <c r="U19" s="363">
        <v>367</v>
      </c>
      <c r="V19" s="363">
        <v>0</v>
      </c>
      <c r="W19" s="363">
        <v>0</v>
      </c>
      <c r="X19" s="363">
        <v>-433</v>
      </c>
      <c r="Y19" s="363">
        <v>106</v>
      </c>
      <c r="Z19" s="363">
        <v>0</v>
      </c>
      <c r="AA19" s="363">
        <v>0</v>
      </c>
      <c r="AB19" s="363">
        <v>-327</v>
      </c>
      <c r="AD19" s="363">
        <v>3048</v>
      </c>
      <c r="AG19" s="363">
        <v>-1852</v>
      </c>
      <c r="AH19" s="349"/>
      <c r="AJ19" s="363">
        <v>709</v>
      </c>
      <c r="AL19" s="363">
        <v>2580</v>
      </c>
      <c r="AN19" s="349"/>
      <c r="AO19" s="454">
        <v>949</v>
      </c>
      <c r="AP19" s="478">
        <v>20.5</v>
      </c>
      <c r="AQ19" s="213"/>
      <c r="AS19" s="509">
        <v>1419</v>
      </c>
      <c r="AT19" s="349">
        <v>8347</v>
      </c>
      <c r="AU19" s="480">
        <v>-6928</v>
      </c>
      <c r="AV19" s="199">
        <v>3176</v>
      </c>
      <c r="AW19" s="199">
        <v>121</v>
      </c>
      <c r="AX19" s="199">
        <v>308</v>
      </c>
      <c r="AY19" s="199">
        <v>3605</v>
      </c>
      <c r="AZ19" s="199">
        <v>3843</v>
      </c>
      <c r="BA19" s="181">
        <v>5</v>
      </c>
      <c r="BB19" s="511">
        <v>18</v>
      </c>
      <c r="BC19" s="181">
        <v>3</v>
      </c>
      <c r="BD19" s="181">
        <v>3</v>
      </c>
      <c r="BE19" s="199">
        <v>507</v>
      </c>
      <c r="BG19" s="183">
        <v>509</v>
      </c>
      <c r="BH19" s="199">
        <v>0</v>
      </c>
      <c r="BI19" s="183">
        <v>0</v>
      </c>
      <c r="BJ19" s="199">
        <v>-2</v>
      </c>
      <c r="BK19" s="199">
        <v>92</v>
      </c>
      <c r="BL19" s="199">
        <v>0</v>
      </c>
      <c r="BM19" s="183">
        <v>0</v>
      </c>
      <c r="BN19" s="199">
        <v>90</v>
      </c>
      <c r="BP19" s="199">
        <v>3138</v>
      </c>
      <c r="BS19" s="211"/>
      <c r="BV19" s="514">
        <v>620</v>
      </c>
      <c r="BX19" s="181">
        <v>2244</v>
      </c>
      <c r="BZ19" s="349"/>
      <c r="CB19" s="340"/>
      <c r="CC19" s="488">
        <v>20.5</v>
      </c>
      <c r="CD19" s="378"/>
      <c r="CE19" s="378"/>
      <c r="CF19" s="195"/>
      <c r="CG19" s="349"/>
      <c r="CI19" s="181">
        <v>3147</v>
      </c>
      <c r="CJ19" s="183">
        <v>0</v>
      </c>
      <c r="CK19" s="421">
        <v>3751.2679053355823</v>
      </c>
      <c r="CL19" s="494">
        <v>3848.0606503657946</v>
      </c>
      <c r="CM19" s="483">
        <v>1035.0773618059209</v>
      </c>
      <c r="CN19" s="483">
        <v>1047.5739075846197</v>
      </c>
      <c r="CO19" s="483">
        <v>1107.909913119403</v>
      </c>
      <c r="CP19" s="433">
        <f t="shared" si="0"/>
        <v>-325.26790533558233</v>
      </c>
      <c r="CQ19" s="212"/>
      <c r="CR19" s="212">
        <v>0</v>
      </c>
      <c r="CS19" s="212">
        <v>-383</v>
      </c>
      <c r="CT19" s="183">
        <v>31</v>
      </c>
      <c r="CU19" s="183">
        <v>11</v>
      </c>
      <c r="CV19" s="485">
        <v>0</v>
      </c>
      <c r="CX19" s="422"/>
      <c r="CY19" s="475"/>
      <c r="CZ19" s="450"/>
      <c r="DA19" s="394"/>
      <c r="DB19" s="394"/>
      <c r="DC19" s="347"/>
      <c r="DD19" s="394"/>
      <c r="DE19" s="394"/>
      <c r="DF19" s="394"/>
      <c r="DG19" s="394"/>
      <c r="DH19" s="394"/>
    </row>
    <row r="20" spans="1:112" x14ac:dyDescent="0.25">
      <c r="A20" s="179">
        <v>74</v>
      </c>
      <c r="B20" s="181" t="s">
        <v>55</v>
      </c>
      <c r="C20" s="373">
        <v>1127</v>
      </c>
      <c r="D20" s="360">
        <v>22</v>
      </c>
      <c r="E20" s="213"/>
      <c r="G20" s="363">
        <v>1052</v>
      </c>
      <c r="H20" s="363">
        <v>9229</v>
      </c>
      <c r="I20" s="349"/>
      <c r="J20" s="363">
        <v>3017</v>
      </c>
      <c r="K20" s="363">
        <v>414</v>
      </c>
      <c r="L20" s="363">
        <v>421</v>
      </c>
      <c r="M20" s="363">
        <v>3852</v>
      </c>
      <c r="N20" s="363">
        <v>4149</v>
      </c>
      <c r="O20" s="363">
        <v>1</v>
      </c>
      <c r="P20" s="363">
        <v>25</v>
      </c>
      <c r="Q20" s="363">
        <v>2</v>
      </c>
      <c r="R20" s="363">
        <v>0</v>
      </c>
      <c r="S20" s="363">
        <v>-198</v>
      </c>
      <c r="U20" s="363">
        <v>123</v>
      </c>
      <c r="V20" s="363">
        <v>0</v>
      </c>
      <c r="W20" s="363">
        <v>0</v>
      </c>
      <c r="X20" s="363">
        <v>-321</v>
      </c>
      <c r="Y20" s="363">
        <v>0</v>
      </c>
      <c r="Z20" s="363">
        <v>0</v>
      </c>
      <c r="AA20" s="363">
        <v>0</v>
      </c>
      <c r="AB20" s="363">
        <v>-321</v>
      </c>
      <c r="AD20" s="363">
        <v>5</v>
      </c>
      <c r="AG20" s="363">
        <v>-463</v>
      </c>
      <c r="AH20" s="349"/>
      <c r="AJ20" s="363">
        <v>411</v>
      </c>
      <c r="AL20" s="363">
        <v>4939</v>
      </c>
      <c r="AN20" s="349"/>
      <c r="AO20" s="454">
        <v>1103</v>
      </c>
      <c r="AP20" s="478">
        <v>23.5</v>
      </c>
      <c r="AQ20" s="213"/>
      <c r="AS20" s="509">
        <v>912</v>
      </c>
      <c r="AT20" s="349">
        <v>8764</v>
      </c>
      <c r="AU20" s="480">
        <v>-7852</v>
      </c>
      <c r="AV20" s="199">
        <v>3206</v>
      </c>
      <c r="AW20" s="199">
        <v>440</v>
      </c>
      <c r="AX20" s="199">
        <v>354</v>
      </c>
      <c r="AY20" s="199">
        <v>4000</v>
      </c>
      <c r="AZ20" s="199">
        <v>4864</v>
      </c>
      <c r="BA20" s="181">
        <v>1</v>
      </c>
      <c r="BB20" s="511">
        <v>10</v>
      </c>
      <c r="BC20" s="181">
        <v>4</v>
      </c>
      <c r="BD20" s="181">
        <v>0</v>
      </c>
      <c r="BE20" s="199">
        <v>1007</v>
      </c>
      <c r="BG20" s="183">
        <v>492</v>
      </c>
      <c r="BH20" s="183">
        <v>0</v>
      </c>
      <c r="BI20" s="183">
        <v>0</v>
      </c>
      <c r="BJ20" s="199">
        <v>515</v>
      </c>
      <c r="BK20" s="183">
        <v>0</v>
      </c>
      <c r="BL20" s="183">
        <v>0</v>
      </c>
      <c r="BM20" s="183">
        <v>0</v>
      </c>
      <c r="BN20" s="199">
        <v>515</v>
      </c>
      <c r="BP20" s="199">
        <v>520</v>
      </c>
      <c r="BS20" s="211"/>
      <c r="BV20" s="514">
        <v>349</v>
      </c>
      <c r="BX20" s="181">
        <v>4682</v>
      </c>
      <c r="BZ20" s="349"/>
      <c r="CB20" s="340"/>
      <c r="CC20" s="488">
        <v>23.5</v>
      </c>
      <c r="CD20" s="378"/>
      <c r="CE20" s="378"/>
      <c r="CF20" s="195"/>
      <c r="CG20" s="349"/>
      <c r="CH20" s="347"/>
      <c r="CI20" s="181">
        <v>3768</v>
      </c>
      <c r="CJ20" s="183">
        <v>0</v>
      </c>
      <c r="CK20" s="421">
        <v>4490.1932935131226</v>
      </c>
      <c r="CL20" s="494">
        <v>4749.498047838576</v>
      </c>
      <c r="CM20" s="483">
        <v>1000.8229145639332</v>
      </c>
      <c r="CN20" s="483">
        <v>1014.8279158616535</v>
      </c>
      <c r="CO20" s="483">
        <v>1023.9555443173419</v>
      </c>
      <c r="CP20" s="433">
        <f t="shared" si="0"/>
        <v>-341.19329351312263</v>
      </c>
      <c r="CQ20" s="212"/>
      <c r="CR20" s="212">
        <v>-6</v>
      </c>
      <c r="CS20" s="212">
        <v>-413</v>
      </c>
      <c r="CT20" s="183">
        <v>0</v>
      </c>
      <c r="CU20" s="183">
        <v>6</v>
      </c>
      <c r="CV20" s="485">
        <v>42</v>
      </c>
      <c r="CX20" s="422"/>
      <c r="CY20" s="475"/>
      <c r="CZ20" s="450"/>
      <c r="DA20" s="394"/>
      <c r="DB20" s="394"/>
      <c r="DC20" s="347"/>
      <c r="DD20" s="394"/>
      <c r="DE20" s="394"/>
      <c r="DF20" s="394"/>
      <c r="DG20" s="394"/>
      <c r="DH20" s="394"/>
    </row>
    <row r="21" spans="1:112" x14ac:dyDescent="0.25">
      <c r="A21" s="179">
        <v>75</v>
      </c>
      <c r="B21" s="181" t="s">
        <v>56</v>
      </c>
      <c r="C21" s="373">
        <v>20111</v>
      </c>
      <c r="D21" s="360">
        <v>21</v>
      </c>
      <c r="E21" s="213"/>
      <c r="G21" s="363">
        <v>24873</v>
      </c>
      <c r="H21" s="363">
        <v>140655</v>
      </c>
      <c r="I21" s="349"/>
      <c r="J21" s="363">
        <v>71246</v>
      </c>
      <c r="K21" s="363">
        <v>7415</v>
      </c>
      <c r="L21" s="363">
        <v>6794</v>
      </c>
      <c r="M21" s="363">
        <v>85455</v>
      </c>
      <c r="N21" s="363">
        <v>38153</v>
      </c>
      <c r="O21" s="363">
        <v>583</v>
      </c>
      <c r="P21" s="363">
        <v>616</v>
      </c>
      <c r="Q21" s="363">
        <v>2288</v>
      </c>
      <c r="R21" s="363">
        <v>9</v>
      </c>
      <c r="S21" s="363">
        <v>10072</v>
      </c>
      <c r="U21" s="363">
        <v>11140</v>
      </c>
      <c r="V21" s="363">
        <v>0</v>
      </c>
      <c r="W21" s="363">
        <v>0</v>
      </c>
      <c r="X21" s="363">
        <v>-1068</v>
      </c>
      <c r="Y21" s="363">
        <v>0</v>
      </c>
      <c r="Z21" s="363">
        <v>0</v>
      </c>
      <c r="AA21" s="363">
        <v>0</v>
      </c>
      <c r="AB21" s="363">
        <v>-1068</v>
      </c>
      <c r="AD21" s="363">
        <v>5507</v>
      </c>
      <c r="AG21" s="363">
        <v>-11967</v>
      </c>
      <c r="AH21" s="349"/>
      <c r="AJ21" s="363">
        <v>3509</v>
      </c>
      <c r="AL21" s="363">
        <v>87192</v>
      </c>
      <c r="AN21" s="349"/>
      <c r="AO21" s="454">
        <v>19877</v>
      </c>
      <c r="AP21" s="478">
        <v>21</v>
      </c>
      <c r="AQ21" s="213"/>
      <c r="AS21" s="509">
        <v>26458</v>
      </c>
      <c r="AT21" s="349">
        <v>144562</v>
      </c>
      <c r="AU21" s="480">
        <v>-118104</v>
      </c>
      <c r="AV21" s="199">
        <v>74460</v>
      </c>
      <c r="AW21" s="199">
        <v>8528</v>
      </c>
      <c r="AX21" s="199">
        <v>6211</v>
      </c>
      <c r="AY21" s="199">
        <v>89199</v>
      </c>
      <c r="AZ21" s="199">
        <v>46900</v>
      </c>
      <c r="BA21" s="181">
        <v>303</v>
      </c>
      <c r="BB21" s="511">
        <v>562</v>
      </c>
      <c r="BC21" s="181">
        <v>2451</v>
      </c>
      <c r="BD21" s="181">
        <v>231</v>
      </c>
      <c r="BE21" s="199">
        <v>19956</v>
      </c>
      <c r="BG21" s="183">
        <v>9728</v>
      </c>
      <c r="BH21" s="183">
        <v>0</v>
      </c>
      <c r="BI21" s="183">
        <v>0</v>
      </c>
      <c r="BJ21" s="199">
        <v>10228</v>
      </c>
      <c r="BK21" s="199">
        <v>0</v>
      </c>
      <c r="BL21" s="183">
        <v>-1500</v>
      </c>
      <c r="BM21" s="183">
        <v>0</v>
      </c>
      <c r="BN21" s="199">
        <v>8728</v>
      </c>
      <c r="BP21" s="199">
        <v>14236</v>
      </c>
      <c r="BS21" s="211"/>
      <c r="BV21" s="514">
        <v>10200</v>
      </c>
      <c r="BX21" s="181">
        <v>84601</v>
      </c>
      <c r="BZ21" s="349"/>
      <c r="CB21" s="340"/>
      <c r="CC21" s="488">
        <v>21</v>
      </c>
      <c r="CD21" s="378"/>
      <c r="CE21" s="378"/>
      <c r="CF21" s="195"/>
      <c r="CG21" s="349"/>
      <c r="CI21" s="181">
        <v>29389</v>
      </c>
      <c r="CJ21" s="183">
        <v>0</v>
      </c>
      <c r="CK21" s="421">
        <v>41518.916203350542</v>
      </c>
      <c r="CL21" s="494">
        <v>43193.31639693999</v>
      </c>
      <c r="CM21" s="483">
        <v>3045.2887180312437</v>
      </c>
      <c r="CN21" s="483">
        <v>3121.3404904081317</v>
      </c>
      <c r="CO21" s="483">
        <v>2464.751715023488</v>
      </c>
      <c r="CP21" s="433">
        <f t="shared" si="0"/>
        <v>-3365.9162033505418</v>
      </c>
      <c r="CQ21" s="212"/>
      <c r="CR21" s="212">
        <v>3487</v>
      </c>
      <c r="CS21" s="212">
        <v>-21782</v>
      </c>
      <c r="CT21" s="183">
        <v>63</v>
      </c>
      <c r="CU21" s="183">
        <v>1005</v>
      </c>
      <c r="CV21" s="485">
        <v>6618</v>
      </c>
      <c r="CX21" s="422"/>
      <c r="CY21" s="475"/>
      <c r="CZ21" s="450"/>
      <c r="DA21" s="394"/>
      <c r="DB21" s="394"/>
      <c r="DC21" s="347"/>
      <c r="DD21" s="394"/>
      <c r="DE21" s="394"/>
      <c r="DF21" s="394"/>
      <c r="DG21" s="394"/>
      <c r="DH21" s="394"/>
    </row>
    <row r="22" spans="1:112" x14ac:dyDescent="0.25">
      <c r="A22" s="179">
        <v>77</v>
      </c>
      <c r="B22" s="181" t="s">
        <v>57</v>
      </c>
      <c r="C22" s="373">
        <v>4875</v>
      </c>
      <c r="D22" s="360">
        <v>22</v>
      </c>
      <c r="E22" s="213"/>
      <c r="G22" s="363">
        <v>5265</v>
      </c>
      <c r="H22" s="363">
        <v>39124</v>
      </c>
      <c r="I22" s="349"/>
      <c r="J22" s="363">
        <v>13140</v>
      </c>
      <c r="K22" s="363">
        <v>949</v>
      </c>
      <c r="L22" s="363">
        <v>1323</v>
      </c>
      <c r="M22" s="363">
        <v>15412</v>
      </c>
      <c r="N22" s="363">
        <v>18486</v>
      </c>
      <c r="O22" s="363">
        <v>0</v>
      </c>
      <c r="P22" s="363">
        <v>61</v>
      </c>
      <c r="Q22" s="363">
        <v>176</v>
      </c>
      <c r="R22" s="363">
        <v>0</v>
      </c>
      <c r="S22" s="363">
        <v>154</v>
      </c>
      <c r="U22" s="363">
        <v>1654</v>
      </c>
      <c r="V22" s="363">
        <v>0</v>
      </c>
      <c r="W22" s="363">
        <v>0</v>
      </c>
      <c r="X22" s="363">
        <v>-1500</v>
      </c>
      <c r="Y22" s="363">
        <v>22</v>
      </c>
      <c r="Z22" s="363">
        <v>0</v>
      </c>
      <c r="AA22" s="363">
        <v>0</v>
      </c>
      <c r="AB22" s="363">
        <v>-1478</v>
      </c>
      <c r="AD22" s="363">
        <v>-2350</v>
      </c>
      <c r="AG22" s="363">
        <v>-2148</v>
      </c>
      <c r="AH22" s="349"/>
      <c r="AJ22" s="363">
        <v>1123</v>
      </c>
      <c r="AL22" s="363">
        <v>13189</v>
      </c>
      <c r="AN22" s="349"/>
      <c r="AO22" s="454">
        <v>4782</v>
      </c>
      <c r="AP22" s="478">
        <v>22</v>
      </c>
      <c r="AQ22" s="213"/>
      <c r="AS22" s="509">
        <v>5573</v>
      </c>
      <c r="AT22" s="349">
        <v>37257</v>
      </c>
      <c r="AU22" s="480">
        <v>-31684</v>
      </c>
      <c r="AV22" s="199">
        <v>13086</v>
      </c>
      <c r="AW22" s="199">
        <v>1057</v>
      </c>
      <c r="AX22" s="199">
        <v>1281</v>
      </c>
      <c r="AY22" s="199">
        <v>15424</v>
      </c>
      <c r="AZ22" s="199">
        <v>20588</v>
      </c>
      <c r="BA22" s="181">
        <v>0</v>
      </c>
      <c r="BB22" s="511">
        <v>59</v>
      </c>
      <c r="BC22" s="181">
        <v>189</v>
      </c>
      <c r="BD22" s="181">
        <v>0</v>
      </c>
      <c r="BE22" s="199">
        <v>4458</v>
      </c>
      <c r="BG22" s="183">
        <v>2667</v>
      </c>
      <c r="BH22" s="183">
        <v>645</v>
      </c>
      <c r="BI22" s="183">
        <v>0</v>
      </c>
      <c r="BJ22" s="199">
        <v>2436</v>
      </c>
      <c r="BK22" s="199">
        <v>0</v>
      </c>
      <c r="BL22" s="183">
        <v>0</v>
      </c>
      <c r="BM22" s="183">
        <v>0</v>
      </c>
      <c r="BN22" s="199">
        <v>2436</v>
      </c>
      <c r="BP22" s="199">
        <v>86</v>
      </c>
      <c r="BS22" s="211"/>
      <c r="BV22" s="514">
        <v>963</v>
      </c>
      <c r="BX22" s="181">
        <v>6258</v>
      </c>
      <c r="BZ22" s="349"/>
      <c r="CB22" s="340"/>
      <c r="CC22" s="488">
        <v>22</v>
      </c>
      <c r="CD22" s="378"/>
      <c r="CE22" s="378"/>
      <c r="CF22" s="195"/>
      <c r="CG22" s="349"/>
      <c r="CI22" s="181">
        <v>15657</v>
      </c>
      <c r="CJ22" s="183">
        <v>0</v>
      </c>
      <c r="CK22" s="421">
        <v>19285.998508170698</v>
      </c>
      <c r="CL22" s="494">
        <v>19863.349698028473</v>
      </c>
      <c r="CM22" s="483">
        <v>4946.3167841390978</v>
      </c>
      <c r="CN22" s="483">
        <v>4782.5029543290602</v>
      </c>
      <c r="CO22" s="483">
        <v>4560.8002638221942</v>
      </c>
      <c r="CP22" s="433">
        <f t="shared" si="0"/>
        <v>-799.99850817069819</v>
      </c>
      <c r="CQ22" s="212"/>
      <c r="CR22" s="212">
        <v>-846</v>
      </c>
      <c r="CS22" s="212">
        <v>-2189</v>
      </c>
      <c r="CT22" s="183">
        <v>505</v>
      </c>
      <c r="CU22" s="183">
        <v>3921</v>
      </c>
      <c r="CV22" s="485">
        <v>0</v>
      </c>
      <c r="CX22" s="422"/>
      <c r="CY22" s="475"/>
      <c r="CZ22" s="450"/>
      <c r="DA22" s="394"/>
      <c r="DB22" s="394"/>
      <c r="DC22" s="347"/>
      <c r="DD22" s="394"/>
      <c r="DE22" s="394"/>
      <c r="DF22" s="394"/>
      <c r="DG22" s="394"/>
      <c r="DH22" s="394"/>
    </row>
    <row r="23" spans="1:112" x14ac:dyDescent="0.25">
      <c r="A23" s="179">
        <v>78</v>
      </c>
      <c r="B23" s="181" t="s">
        <v>58</v>
      </c>
      <c r="C23" s="373">
        <v>8199</v>
      </c>
      <c r="D23" s="360">
        <v>21.75</v>
      </c>
      <c r="E23" s="213"/>
      <c r="G23" s="363">
        <v>16038</v>
      </c>
      <c r="H23" s="363">
        <v>68052</v>
      </c>
      <c r="I23" s="349"/>
      <c r="J23" s="363">
        <v>33381</v>
      </c>
      <c r="K23" s="363">
        <v>3254</v>
      </c>
      <c r="L23" s="363">
        <v>2819</v>
      </c>
      <c r="M23" s="363">
        <v>39454</v>
      </c>
      <c r="N23" s="363">
        <v>12613</v>
      </c>
      <c r="O23" s="363">
        <v>1760</v>
      </c>
      <c r="P23" s="363">
        <v>767</v>
      </c>
      <c r="Q23" s="363">
        <v>2225</v>
      </c>
      <c r="R23" s="363">
        <v>16</v>
      </c>
      <c r="S23" s="363">
        <v>3255</v>
      </c>
      <c r="U23" s="363">
        <v>3535</v>
      </c>
      <c r="V23" s="363">
        <v>0</v>
      </c>
      <c r="W23" s="363">
        <v>0</v>
      </c>
      <c r="X23" s="363">
        <v>-280</v>
      </c>
      <c r="Y23" s="363">
        <v>10</v>
      </c>
      <c r="Z23" s="363">
        <v>0</v>
      </c>
      <c r="AA23" s="363">
        <v>0</v>
      </c>
      <c r="AB23" s="363">
        <v>-270</v>
      </c>
      <c r="AD23" s="363">
        <v>5871</v>
      </c>
      <c r="AG23" s="363">
        <v>-3892</v>
      </c>
      <c r="AH23" s="349"/>
      <c r="AJ23" s="363">
        <v>2255</v>
      </c>
      <c r="AL23" s="363">
        <v>64286</v>
      </c>
      <c r="AN23" s="349"/>
      <c r="AO23" s="454">
        <v>8042</v>
      </c>
      <c r="AP23" s="478">
        <v>21.75</v>
      </c>
      <c r="AQ23" s="213"/>
      <c r="AS23" s="509">
        <v>17762</v>
      </c>
      <c r="AT23" s="349">
        <v>67029</v>
      </c>
      <c r="AU23" s="480">
        <v>-49267</v>
      </c>
      <c r="AV23" s="199">
        <v>34419</v>
      </c>
      <c r="AW23" s="199">
        <v>3162</v>
      </c>
      <c r="AX23" s="199">
        <v>2581</v>
      </c>
      <c r="AY23" s="199">
        <v>40162</v>
      </c>
      <c r="AZ23" s="199">
        <v>15883</v>
      </c>
      <c r="BA23" s="181">
        <v>1760</v>
      </c>
      <c r="BB23" s="511">
        <v>702</v>
      </c>
      <c r="BC23" s="181">
        <v>222</v>
      </c>
      <c r="BD23" s="181">
        <v>2</v>
      </c>
      <c r="BE23" s="199">
        <v>8056</v>
      </c>
      <c r="BG23" s="183">
        <v>3557</v>
      </c>
      <c r="BH23" s="183">
        <v>0</v>
      </c>
      <c r="BI23" s="183">
        <v>0</v>
      </c>
      <c r="BJ23" s="199">
        <v>4499</v>
      </c>
      <c r="BK23" s="199">
        <v>10</v>
      </c>
      <c r="BL23" s="183">
        <v>0</v>
      </c>
      <c r="BM23" s="183">
        <v>0</v>
      </c>
      <c r="BN23" s="199">
        <v>4509</v>
      </c>
      <c r="BP23" s="199">
        <v>11446</v>
      </c>
      <c r="BS23" s="211"/>
      <c r="BV23" s="514">
        <v>2777</v>
      </c>
      <c r="BX23" s="181">
        <v>61403</v>
      </c>
      <c r="BZ23" s="349"/>
      <c r="CB23" s="340"/>
      <c r="CC23" s="488">
        <v>21.75</v>
      </c>
      <c r="CD23" s="378"/>
      <c r="CE23" s="378"/>
      <c r="CF23" s="195"/>
      <c r="CG23" s="349"/>
      <c r="CH23" s="347"/>
      <c r="CI23" s="181">
        <v>10458</v>
      </c>
      <c r="CJ23" s="183">
        <v>1100</v>
      </c>
      <c r="CK23" s="421">
        <v>14150.659110276531</v>
      </c>
      <c r="CL23" s="494">
        <v>15141.513999325549</v>
      </c>
      <c r="CM23" s="483">
        <v>-602.41380595683324</v>
      </c>
      <c r="CN23" s="483">
        <v>-319.70395619657199</v>
      </c>
      <c r="CO23" s="483">
        <v>-406.78593352693599</v>
      </c>
      <c r="CP23" s="433">
        <f t="shared" si="0"/>
        <v>-1537.6591102765306</v>
      </c>
      <c r="CQ23" s="212"/>
      <c r="CR23" s="212">
        <v>-1915</v>
      </c>
      <c r="CS23" s="212">
        <v>-4645</v>
      </c>
      <c r="CT23" s="183">
        <v>84</v>
      </c>
      <c r="CU23" s="183">
        <v>1879</v>
      </c>
      <c r="CV23" s="485">
        <v>12</v>
      </c>
      <c r="CX23" s="422"/>
      <c r="CY23" s="475"/>
      <c r="CZ23" s="450"/>
      <c r="DA23" s="394"/>
      <c r="DB23" s="394"/>
      <c r="DC23" s="347"/>
      <c r="DD23" s="394"/>
      <c r="DE23" s="394"/>
      <c r="DF23" s="394"/>
      <c r="DG23" s="394"/>
      <c r="DH23" s="394"/>
    </row>
    <row r="24" spans="1:112" x14ac:dyDescent="0.25">
      <c r="A24" s="179">
        <v>79</v>
      </c>
      <c r="B24" s="181" t="s">
        <v>59</v>
      </c>
      <c r="C24" s="373">
        <v>6931</v>
      </c>
      <c r="D24" s="360">
        <v>21.5</v>
      </c>
      <c r="E24" s="213"/>
      <c r="G24" s="363">
        <v>5980</v>
      </c>
      <c r="H24" s="363">
        <v>51801</v>
      </c>
      <c r="I24" s="349"/>
      <c r="J24" s="363">
        <v>24706</v>
      </c>
      <c r="K24" s="363">
        <v>7273</v>
      </c>
      <c r="L24" s="363">
        <v>2244</v>
      </c>
      <c r="M24" s="363">
        <v>34223</v>
      </c>
      <c r="N24" s="363">
        <v>10331</v>
      </c>
      <c r="O24" s="363">
        <v>9</v>
      </c>
      <c r="P24" s="363">
        <v>79</v>
      </c>
      <c r="Q24" s="363">
        <v>79</v>
      </c>
      <c r="R24" s="363">
        <v>6</v>
      </c>
      <c r="S24" s="363">
        <v>-1264</v>
      </c>
      <c r="U24" s="363">
        <v>2389</v>
      </c>
      <c r="V24" s="363">
        <v>0</v>
      </c>
      <c r="W24" s="363">
        <v>0</v>
      </c>
      <c r="X24" s="363">
        <v>-3653</v>
      </c>
      <c r="Y24" s="363">
        <v>0</v>
      </c>
      <c r="Z24" s="363">
        <v>0</v>
      </c>
      <c r="AA24" s="363">
        <v>0</v>
      </c>
      <c r="AB24" s="363">
        <v>-3653</v>
      </c>
      <c r="AD24" s="363">
        <v>738</v>
      </c>
      <c r="AG24" s="363">
        <v>-3095</v>
      </c>
      <c r="AH24" s="349"/>
      <c r="AJ24" s="363">
        <v>784</v>
      </c>
      <c r="AL24" s="363">
        <v>21214</v>
      </c>
      <c r="AN24" s="349"/>
      <c r="AO24" s="454">
        <v>6869</v>
      </c>
      <c r="AP24" s="478">
        <v>21.5</v>
      </c>
      <c r="AQ24" s="213"/>
      <c r="AS24" s="509">
        <v>6797</v>
      </c>
      <c r="AT24" s="349">
        <v>51130</v>
      </c>
      <c r="AU24" s="480">
        <v>-44333</v>
      </c>
      <c r="AV24" s="199">
        <v>24952</v>
      </c>
      <c r="AW24" s="199">
        <v>7229</v>
      </c>
      <c r="AX24" s="199">
        <v>2573</v>
      </c>
      <c r="AY24" s="199">
        <v>34754</v>
      </c>
      <c r="AZ24" s="199">
        <v>13375</v>
      </c>
      <c r="BA24" s="181">
        <v>4</v>
      </c>
      <c r="BB24" s="511">
        <v>53</v>
      </c>
      <c r="BC24" s="181">
        <v>78</v>
      </c>
      <c r="BD24" s="181">
        <v>5</v>
      </c>
      <c r="BE24" s="199">
        <v>3820</v>
      </c>
      <c r="BG24" s="183">
        <v>2689</v>
      </c>
      <c r="BH24" s="183">
        <v>0</v>
      </c>
      <c r="BI24" s="199">
        <v>0</v>
      </c>
      <c r="BJ24" s="199">
        <v>1131</v>
      </c>
      <c r="BK24" s="183">
        <v>0</v>
      </c>
      <c r="BL24" s="199">
        <v>0</v>
      </c>
      <c r="BM24" s="183">
        <v>0</v>
      </c>
      <c r="BN24" s="199">
        <v>1131</v>
      </c>
      <c r="BP24" s="199">
        <v>1868</v>
      </c>
      <c r="BS24" s="211"/>
      <c r="BV24" s="514">
        <v>816</v>
      </c>
      <c r="BX24" s="181">
        <v>19572</v>
      </c>
      <c r="BZ24" s="349"/>
      <c r="CB24" s="340"/>
      <c r="CC24" s="488">
        <v>21.5</v>
      </c>
      <c r="CD24" s="378"/>
      <c r="CE24" s="378"/>
      <c r="CF24" s="195"/>
      <c r="CG24" s="349"/>
      <c r="CI24" s="181">
        <v>9343</v>
      </c>
      <c r="CJ24" s="183">
        <v>0</v>
      </c>
      <c r="CK24" s="421">
        <v>13282.965251054211</v>
      </c>
      <c r="CL24" s="494">
        <v>13209.008184251097</v>
      </c>
      <c r="CM24" s="483">
        <v>-2535.3312755250768</v>
      </c>
      <c r="CN24" s="483">
        <v>-2439.9161878160444</v>
      </c>
      <c r="CO24" s="483">
        <v>-2371.6589807705668</v>
      </c>
      <c r="CP24" s="433">
        <f t="shared" si="0"/>
        <v>-2951.965251054211</v>
      </c>
      <c r="CQ24" s="212"/>
      <c r="CR24" s="212">
        <v>-74</v>
      </c>
      <c r="CS24" s="212">
        <v>-4599</v>
      </c>
      <c r="CT24" s="183">
        <v>62</v>
      </c>
      <c r="CU24" s="183">
        <v>1361</v>
      </c>
      <c r="CV24" s="485">
        <v>3</v>
      </c>
      <c r="CX24" s="422"/>
      <c r="CY24" s="475"/>
      <c r="CZ24" s="450"/>
      <c r="DA24" s="394"/>
      <c r="DB24" s="394"/>
      <c r="DC24" s="347"/>
      <c r="DD24" s="394"/>
      <c r="DE24" s="394"/>
      <c r="DF24" s="394"/>
      <c r="DG24" s="394"/>
      <c r="DH24" s="394"/>
    </row>
    <row r="25" spans="1:112" x14ac:dyDescent="0.25">
      <c r="A25" s="179">
        <v>81</v>
      </c>
      <c r="B25" s="181" t="s">
        <v>60</v>
      </c>
      <c r="C25" s="373">
        <v>2697</v>
      </c>
      <c r="D25" s="360">
        <v>21.5</v>
      </c>
      <c r="E25" s="213"/>
      <c r="G25" s="363">
        <v>2733</v>
      </c>
      <c r="H25" s="363">
        <v>20989</v>
      </c>
      <c r="I25" s="349"/>
      <c r="J25" s="363">
        <v>6734</v>
      </c>
      <c r="K25" s="363">
        <v>1293</v>
      </c>
      <c r="L25" s="363">
        <v>1328</v>
      </c>
      <c r="M25" s="363">
        <v>9355</v>
      </c>
      <c r="N25" s="363">
        <v>8632</v>
      </c>
      <c r="O25" s="363">
        <v>9</v>
      </c>
      <c r="P25" s="363">
        <v>118</v>
      </c>
      <c r="Q25" s="363">
        <v>56</v>
      </c>
      <c r="R25" s="363">
        <v>0</v>
      </c>
      <c r="S25" s="363">
        <v>-322</v>
      </c>
      <c r="U25" s="363">
        <v>750</v>
      </c>
      <c r="V25" s="363">
        <v>0</v>
      </c>
      <c r="W25" s="363">
        <v>0</v>
      </c>
      <c r="X25" s="363">
        <v>-1072</v>
      </c>
      <c r="Y25" s="363">
        <v>0</v>
      </c>
      <c r="Z25" s="363">
        <v>0</v>
      </c>
      <c r="AA25" s="363">
        <v>0</v>
      </c>
      <c r="AB25" s="363">
        <v>-1072</v>
      </c>
      <c r="AD25" s="363">
        <v>-780</v>
      </c>
      <c r="AG25" s="363">
        <v>3352</v>
      </c>
      <c r="AH25" s="349"/>
      <c r="AJ25" s="363">
        <v>1267</v>
      </c>
      <c r="AL25" s="363">
        <v>11159</v>
      </c>
      <c r="AN25" s="349"/>
      <c r="AO25" s="454">
        <v>2655</v>
      </c>
      <c r="AP25" s="478">
        <v>21.5</v>
      </c>
      <c r="AQ25" s="213"/>
      <c r="AS25" s="509">
        <v>2062</v>
      </c>
      <c r="AT25" s="349">
        <v>19683</v>
      </c>
      <c r="AU25" s="480">
        <v>-17621</v>
      </c>
      <c r="AV25" s="199">
        <v>7580</v>
      </c>
      <c r="AW25" s="199">
        <v>1467</v>
      </c>
      <c r="AX25" s="199">
        <v>1216</v>
      </c>
      <c r="AY25" s="199">
        <v>10263</v>
      </c>
      <c r="AZ25" s="199">
        <v>10534</v>
      </c>
      <c r="BA25" s="181">
        <v>7</v>
      </c>
      <c r="BB25" s="511">
        <v>71</v>
      </c>
      <c r="BC25" s="181">
        <v>61</v>
      </c>
      <c r="BD25" s="181">
        <v>0</v>
      </c>
      <c r="BE25" s="199">
        <v>3173</v>
      </c>
      <c r="BG25" s="183">
        <v>1130</v>
      </c>
      <c r="BH25" s="183">
        <v>0</v>
      </c>
      <c r="BI25" s="183">
        <v>0</v>
      </c>
      <c r="BJ25" s="199">
        <v>2043</v>
      </c>
      <c r="BK25" s="183">
        <v>0</v>
      </c>
      <c r="BL25" s="183">
        <v>0</v>
      </c>
      <c r="BM25" s="183">
        <v>0</v>
      </c>
      <c r="BN25" s="199">
        <v>2043</v>
      </c>
      <c r="BP25" s="199">
        <v>1262</v>
      </c>
      <c r="BS25" s="211"/>
      <c r="BV25" s="514">
        <v>2356</v>
      </c>
      <c r="BX25" s="181">
        <v>11269</v>
      </c>
      <c r="BZ25" s="349"/>
      <c r="CB25" s="340"/>
      <c r="CC25" s="488">
        <v>21.5</v>
      </c>
      <c r="CD25" s="378"/>
      <c r="CE25" s="378"/>
      <c r="CF25" s="195"/>
      <c r="CG25" s="349"/>
      <c r="CH25" s="347"/>
      <c r="CI25" s="181">
        <v>8065</v>
      </c>
      <c r="CJ25" s="183">
        <v>450</v>
      </c>
      <c r="CK25" s="421">
        <v>9465.9407700359588</v>
      </c>
      <c r="CL25" s="494">
        <v>9895.2305318426661</v>
      </c>
      <c r="CM25" s="483">
        <v>505.78034090523909</v>
      </c>
      <c r="CN25" s="483">
        <v>441.62378509732218</v>
      </c>
      <c r="CO25" s="483">
        <v>232.00250806104782</v>
      </c>
      <c r="CP25" s="433">
        <f t="shared" si="0"/>
        <v>-833.94077003595885</v>
      </c>
      <c r="CQ25" s="212"/>
      <c r="CR25" s="212">
        <v>-19</v>
      </c>
      <c r="CS25" s="212">
        <v>-1674</v>
      </c>
      <c r="CT25" s="183">
        <v>13</v>
      </c>
      <c r="CU25" s="183">
        <v>20</v>
      </c>
      <c r="CV25" s="485">
        <v>8</v>
      </c>
      <c r="CX25" s="422"/>
      <c r="CY25" s="475"/>
      <c r="CZ25" s="450"/>
      <c r="DA25" s="394"/>
      <c r="DB25" s="394"/>
      <c r="DC25" s="347"/>
      <c r="DD25" s="394"/>
      <c r="DE25" s="394"/>
      <c r="DF25" s="394"/>
      <c r="DG25" s="394"/>
      <c r="DH25" s="394"/>
    </row>
    <row r="26" spans="1:112" x14ac:dyDescent="0.25">
      <c r="A26" s="179">
        <v>82</v>
      </c>
      <c r="B26" s="181" t="s">
        <v>61</v>
      </c>
      <c r="C26" s="373">
        <v>9422</v>
      </c>
      <c r="D26" s="360">
        <v>20.5</v>
      </c>
      <c r="E26" s="213"/>
      <c r="G26" s="363">
        <v>6864</v>
      </c>
      <c r="H26" s="363">
        <v>53143</v>
      </c>
      <c r="I26" s="349"/>
      <c r="J26" s="363">
        <v>33409</v>
      </c>
      <c r="K26" s="363">
        <v>1229</v>
      </c>
      <c r="L26" s="363">
        <v>2253</v>
      </c>
      <c r="M26" s="363">
        <v>36891</v>
      </c>
      <c r="N26" s="363">
        <v>9721</v>
      </c>
      <c r="O26" s="363">
        <v>197</v>
      </c>
      <c r="P26" s="363">
        <v>148</v>
      </c>
      <c r="Q26" s="363">
        <v>42</v>
      </c>
      <c r="R26" s="363">
        <v>9</v>
      </c>
      <c r="S26" s="363">
        <v>415</v>
      </c>
      <c r="U26" s="363">
        <v>2093</v>
      </c>
      <c r="V26" s="363">
        <v>0</v>
      </c>
      <c r="W26" s="363">
        <v>0</v>
      </c>
      <c r="X26" s="363">
        <v>-1678</v>
      </c>
      <c r="Y26" s="363">
        <v>0</v>
      </c>
      <c r="Z26" s="363">
        <v>0</v>
      </c>
      <c r="AA26" s="363">
        <v>0</v>
      </c>
      <c r="AB26" s="363">
        <v>-1678</v>
      </c>
      <c r="AD26" s="363">
        <v>3175</v>
      </c>
      <c r="AG26" s="363">
        <v>-1389</v>
      </c>
      <c r="AH26" s="349"/>
      <c r="AJ26" s="363">
        <v>499</v>
      </c>
      <c r="AL26" s="363">
        <v>36137</v>
      </c>
      <c r="AN26" s="349"/>
      <c r="AO26" s="454">
        <v>9389</v>
      </c>
      <c r="AP26" s="478">
        <v>20.75</v>
      </c>
      <c r="AQ26" s="213"/>
      <c r="AS26" s="509">
        <v>6459</v>
      </c>
      <c r="AT26" s="349">
        <v>54593</v>
      </c>
      <c r="AU26" s="480">
        <v>-48134</v>
      </c>
      <c r="AV26" s="199">
        <v>35704</v>
      </c>
      <c r="AW26" s="199">
        <v>1266</v>
      </c>
      <c r="AX26" s="199">
        <v>2308</v>
      </c>
      <c r="AY26" s="199">
        <v>39278</v>
      </c>
      <c r="AZ26" s="199">
        <v>14030</v>
      </c>
      <c r="BA26" s="181">
        <v>201</v>
      </c>
      <c r="BB26" s="511">
        <v>152</v>
      </c>
      <c r="BC26" s="181">
        <v>13</v>
      </c>
      <c r="BD26" s="181">
        <v>100</v>
      </c>
      <c r="BE26" s="199">
        <v>5136</v>
      </c>
      <c r="BG26" s="183">
        <v>2149</v>
      </c>
      <c r="BH26" s="183">
        <v>0</v>
      </c>
      <c r="BI26" s="183">
        <v>0</v>
      </c>
      <c r="BJ26" s="199">
        <v>2987</v>
      </c>
      <c r="BK26" s="183">
        <v>0</v>
      </c>
      <c r="BL26" s="183">
        <v>-2000</v>
      </c>
      <c r="BM26" s="183">
        <v>0</v>
      </c>
      <c r="BN26" s="199">
        <v>987</v>
      </c>
      <c r="BP26" s="199">
        <v>4233</v>
      </c>
      <c r="BS26" s="211"/>
      <c r="BV26" s="514">
        <v>509</v>
      </c>
      <c r="BX26" s="181">
        <v>31551</v>
      </c>
      <c r="BZ26" s="349"/>
      <c r="CB26" s="340"/>
      <c r="CC26" s="488">
        <v>20.75</v>
      </c>
      <c r="CD26" s="378"/>
      <c r="CE26" s="378"/>
      <c r="CF26" s="195"/>
      <c r="CG26" s="349"/>
      <c r="CI26" s="181">
        <v>10610</v>
      </c>
      <c r="CJ26" s="183">
        <v>0</v>
      </c>
      <c r="CK26" s="421">
        <v>12214.716873584824</v>
      </c>
      <c r="CL26" s="494">
        <v>13232.935132880215</v>
      </c>
      <c r="CM26" s="483">
        <v>4492.3489894704089</v>
      </c>
      <c r="CN26" s="483">
        <v>3834.0821285352749</v>
      </c>
      <c r="CO26" s="483">
        <v>3649.3564318376712</v>
      </c>
      <c r="CP26" s="433">
        <f t="shared" si="0"/>
        <v>-2493.7168735848245</v>
      </c>
      <c r="CQ26" s="212"/>
      <c r="CR26" s="212">
        <v>-305</v>
      </c>
      <c r="CS26" s="212">
        <v>-2545</v>
      </c>
      <c r="CT26" s="183">
        <v>23</v>
      </c>
      <c r="CU26" s="183">
        <v>81</v>
      </c>
      <c r="CV26" s="485">
        <v>0</v>
      </c>
      <c r="CX26" s="422"/>
      <c r="CY26" s="475"/>
      <c r="CZ26" s="450"/>
      <c r="DA26" s="394"/>
      <c r="DB26" s="394"/>
      <c r="DC26" s="347"/>
      <c r="DD26" s="394"/>
      <c r="DE26" s="394"/>
      <c r="DF26" s="394"/>
      <c r="DG26" s="394"/>
      <c r="DH26" s="394"/>
    </row>
    <row r="27" spans="1:112" x14ac:dyDescent="0.25">
      <c r="A27" s="179">
        <v>86</v>
      </c>
      <c r="B27" s="181" t="s">
        <v>62</v>
      </c>
      <c r="C27" s="373">
        <v>8260</v>
      </c>
      <c r="D27" s="360">
        <v>21.5</v>
      </c>
      <c r="E27" s="213"/>
      <c r="G27" s="363">
        <v>6741</v>
      </c>
      <c r="H27" s="363">
        <v>50434</v>
      </c>
      <c r="I27" s="349"/>
      <c r="J27" s="363">
        <v>29779</v>
      </c>
      <c r="K27" s="363">
        <v>1143</v>
      </c>
      <c r="L27" s="363">
        <v>1731</v>
      </c>
      <c r="M27" s="363">
        <v>32653</v>
      </c>
      <c r="N27" s="363">
        <v>13454</v>
      </c>
      <c r="O27" s="363">
        <v>5</v>
      </c>
      <c r="P27" s="363">
        <v>220</v>
      </c>
      <c r="Q27" s="363">
        <v>6</v>
      </c>
      <c r="R27" s="363">
        <v>2</v>
      </c>
      <c r="S27" s="363">
        <v>2203</v>
      </c>
      <c r="U27" s="363">
        <v>2198</v>
      </c>
      <c r="V27" s="363">
        <v>0</v>
      </c>
      <c r="W27" s="363">
        <v>0</v>
      </c>
      <c r="X27" s="363">
        <v>5</v>
      </c>
      <c r="Y27" s="363">
        <v>0</v>
      </c>
      <c r="Z27" s="363">
        <v>0</v>
      </c>
      <c r="AA27" s="363">
        <v>0</v>
      </c>
      <c r="AB27" s="363">
        <v>5</v>
      </c>
      <c r="AD27" s="363">
        <v>5068</v>
      </c>
      <c r="AG27" s="363">
        <v>-1763</v>
      </c>
      <c r="AH27" s="349"/>
      <c r="AJ27" s="363">
        <v>2665</v>
      </c>
      <c r="AL27" s="363">
        <v>23332</v>
      </c>
      <c r="AN27" s="349"/>
      <c r="AO27" s="454">
        <v>8175</v>
      </c>
      <c r="AP27" s="478">
        <v>21.5</v>
      </c>
      <c r="AQ27" s="213"/>
      <c r="AS27" s="509">
        <v>6473</v>
      </c>
      <c r="AT27" s="349">
        <v>50730</v>
      </c>
      <c r="AU27" s="480">
        <v>-44257</v>
      </c>
      <c r="AV27" s="199">
        <v>30132</v>
      </c>
      <c r="AW27" s="199">
        <v>1174</v>
      </c>
      <c r="AX27" s="199">
        <v>1548</v>
      </c>
      <c r="AY27" s="199">
        <v>32854</v>
      </c>
      <c r="AZ27" s="199">
        <v>16695</v>
      </c>
      <c r="BA27" s="181">
        <v>16</v>
      </c>
      <c r="BB27" s="511">
        <v>172</v>
      </c>
      <c r="BC27" s="181">
        <v>9</v>
      </c>
      <c r="BD27" s="181">
        <v>11</v>
      </c>
      <c r="BE27" s="199">
        <v>5134</v>
      </c>
      <c r="BG27" s="183">
        <v>2054</v>
      </c>
      <c r="BH27" s="183">
        <v>0</v>
      </c>
      <c r="BI27" s="183">
        <v>0</v>
      </c>
      <c r="BJ27" s="199">
        <v>3080</v>
      </c>
      <c r="BK27" s="183">
        <v>0</v>
      </c>
      <c r="BL27" s="183">
        <v>0</v>
      </c>
      <c r="BM27" s="183">
        <v>0</v>
      </c>
      <c r="BN27" s="199">
        <v>3080</v>
      </c>
      <c r="BP27" s="199">
        <v>7938</v>
      </c>
      <c r="BS27" s="211"/>
      <c r="BV27" s="514">
        <v>8200</v>
      </c>
      <c r="BX27" s="181">
        <v>29528</v>
      </c>
      <c r="BZ27" s="349"/>
      <c r="CB27" s="340"/>
      <c r="CC27" s="488">
        <v>21.5</v>
      </c>
      <c r="CD27" s="378"/>
      <c r="CE27" s="378"/>
      <c r="CF27" s="195"/>
      <c r="CG27" s="349"/>
      <c r="CI27" s="181">
        <v>12784</v>
      </c>
      <c r="CJ27" s="183">
        <v>0</v>
      </c>
      <c r="CK27" s="421">
        <v>15361.403222941601</v>
      </c>
      <c r="CL27" s="494">
        <v>15753.103431680542</v>
      </c>
      <c r="CM27" s="483">
        <v>5419.5543121397395</v>
      </c>
      <c r="CN27" s="483">
        <v>5204.9972077133652</v>
      </c>
      <c r="CO27" s="483">
        <v>5031.399945452863</v>
      </c>
      <c r="CP27" s="433">
        <f t="shared" si="0"/>
        <v>-1907.4032229416007</v>
      </c>
      <c r="CQ27" s="212"/>
      <c r="CR27" s="212">
        <v>-152</v>
      </c>
      <c r="CS27" s="212">
        <v>-7003</v>
      </c>
      <c r="CT27" s="183">
        <v>449</v>
      </c>
      <c r="CU27" s="183">
        <v>167</v>
      </c>
      <c r="CV27" s="485">
        <v>14</v>
      </c>
      <c r="CX27" s="422"/>
      <c r="CY27" s="475"/>
      <c r="CZ27" s="450"/>
      <c r="DA27" s="394"/>
      <c r="DB27" s="394"/>
      <c r="DC27" s="347"/>
      <c r="DD27" s="394"/>
      <c r="DE27" s="394"/>
      <c r="DF27" s="394"/>
      <c r="DG27" s="394"/>
      <c r="DH27" s="394"/>
    </row>
    <row r="28" spans="1:112" x14ac:dyDescent="0.25">
      <c r="A28" s="179">
        <v>111</v>
      </c>
      <c r="B28" s="349" t="s">
        <v>63</v>
      </c>
      <c r="C28" s="373">
        <v>18667</v>
      </c>
      <c r="D28" s="360">
        <v>20.5</v>
      </c>
      <c r="E28" s="213"/>
      <c r="G28" s="363">
        <v>20461</v>
      </c>
      <c r="H28" s="363">
        <v>127649</v>
      </c>
      <c r="I28" s="349"/>
      <c r="J28" s="363">
        <v>58899</v>
      </c>
      <c r="K28" s="363">
        <v>3277</v>
      </c>
      <c r="L28" s="363">
        <v>6228</v>
      </c>
      <c r="M28" s="363">
        <v>68404</v>
      </c>
      <c r="N28" s="363">
        <v>43449</v>
      </c>
      <c r="O28" s="363">
        <v>100</v>
      </c>
      <c r="P28" s="363">
        <v>533</v>
      </c>
      <c r="Q28" s="363">
        <v>4621</v>
      </c>
      <c r="R28" s="363">
        <v>431</v>
      </c>
      <c r="S28" s="363">
        <v>8422</v>
      </c>
      <c r="U28" s="363">
        <v>6367</v>
      </c>
      <c r="V28" s="363">
        <v>0</v>
      </c>
      <c r="W28" s="363">
        <v>0</v>
      </c>
      <c r="X28" s="363">
        <v>2055</v>
      </c>
      <c r="Y28" s="363">
        <v>100</v>
      </c>
      <c r="Z28" s="363">
        <v>0</v>
      </c>
      <c r="AA28" s="363">
        <v>0</v>
      </c>
      <c r="AB28" s="363">
        <v>2155</v>
      </c>
      <c r="AD28" s="363">
        <v>26269</v>
      </c>
      <c r="AG28" s="363">
        <v>-19973</v>
      </c>
      <c r="AH28" s="349"/>
      <c r="AJ28" s="363">
        <v>83833</v>
      </c>
      <c r="AL28" s="363">
        <v>80414</v>
      </c>
      <c r="AN28" s="349"/>
      <c r="AO28" s="454">
        <v>18497</v>
      </c>
      <c r="AP28" s="478">
        <v>20.5</v>
      </c>
      <c r="AQ28" s="213"/>
      <c r="AS28" s="509">
        <v>20048</v>
      </c>
      <c r="AT28" s="349">
        <v>127087</v>
      </c>
      <c r="AU28" s="480">
        <v>-107039</v>
      </c>
      <c r="AV28" s="199">
        <v>63745</v>
      </c>
      <c r="AW28" s="199">
        <v>3729</v>
      </c>
      <c r="AX28" s="199">
        <v>5523</v>
      </c>
      <c r="AY28" s="199">
        <v>72997</v>
      </c>
      <c r="AZ28" s="199">
        <v>52020</v>
      </c>
      <c r="BA28" s="181">
        <v>92</v>
      </c>
      <c r="BB28" s="511">
        <v>498</v>
      </c>
      <c r="BC28" s="181">
        <v>7803</v>
      </c>
      <c r="BD28" s="181">
        <v>4844</v>
      </c>
      <c r="BE28" s="199">
        <v>20531</v>
      </c>
      <c r="BG28" s="183">
        <v>8994</v>
      </c>
      <c r="BH28" s="183">
        <v>9105</v>
      </c>
      <c r="BI28" s="183">
        <v>0</v>
      </c>
      <c r="BJ28" s="199">
        <v>20642</v>
      </c>
      <c r="BK28" s="199">
        <v>14</v>
      </c>
      <c r="BL28" s="199">
        <v>-18690</v>
      </c>
      <c r="BM28" s="183">
        <v>-1</v>
      </c>
      <c r="BN28" s="199">
        <v>1965</v>
      </c>
      <c r="BP28" s="199">
        <v>28035</v>
      </c>
      <c r="BS28" s="211"/>
      <c r="BV28" s="514">
        <v>99936</v>
      </c>
      <c r="BX28" s="181">
        <v>99361</v>
      </c>
      <c r="BZ28" s="349"/>
      <c r="CB28" s="340"/>
      <c r="CC28" s="488">
        <v>20.5</v>
      </c>
      <c r="CD28" s="378"/>
      <c r="CE28" s="378"/>
      <c r="CF28" s="195"/>
      <c r="CG28" s="349"/>
      <c r="CH28" s="347"/>
      <c r="CI28" s="181">
        <v>29427</v>
      </c>
      <c r="CJ28" s="183">
        <v>0</v>
      </c>
      <c r="CK28" s="421">
        <v>49090.006738332813</v>
      </c>
      <c r="CL28" s="494">
        <v>52960.327958848589</v>
      </c>
      <c r="CM28" s="483">
        <v>10329.474967585018</v>
      </c>
      <c r="CN28" s="483">
        <v>9692.0017162224685</v>
      </c>
      <c r="CO28" s="483">
        <v>8796.6072646344928</v>
      </c>
      <c r="CP28" s="433">
        <f t="shared" si="0"/>
        <v>-5641.0067383328133</v>
      </c>
      <c r="CQ28" s="212"/>
      <c r="CR28" s="212">
        <v>-953</v>
      </c>
      <c r="CS28" s="212">
        <v>-31482</v>
      </c>
      <c r="CT28" s="183">
        <v>607</v>
      </c>
      <c r="CU28" s="183">
        <v>979</v>
      </c>
      <c r="CV28" s="485">
        <v>45</v>
      </c>
      <c r="CX28" s="422"/>
      <c r="CY28" s="475"/>
      <c r="CZ28" s="450"/>
      <c r="DA28" s="394"/>
      <c r="DB28" s="394"/>
      <c r="DC28" s="347"/>
      <c r="DD28" s="394"/>
      <c r="DE28" s="394"/>
      <c r="DF28" s="394"/>
      <c r="DG28" s="394"/>
      <c r="DH28" s="394"/>
    </row>
    <row r="29" spans="1:112" x14ac:dyDescent="0.25">
      <c r="A29" s="179">
        <v>90</v>
      </c>
      <c r="B29" s="181" t="s">
        <v>64</v>
      </c>
      <c r="C29" s="373">
        <v>3254</v>
      </c>
      <c r="D29" s="360">
        <v>21</v>
      </c>
      <c r="E29" s="213"/>
      <c r="G29" s="363">
        <v>4498</v>
      </c>
      <c r="H29" s="363">
        <v>28788</v>
      </c>
      <c r="I29" s="349"/>
      <c r="J29" s="363">
        <v>8393</v>
      </c>
      <c r="K29" s="363">
        <v>2190</v>
      </c>
      <c r="L29" s="363">
        <v>1371</v>
      </c>
      <c r="M29" s="363">
        <v>11954</v>
      </c>
      <c r="N29" s="363">
        <v>13570</v>
      </c>
      <c r="O29" s="363">
        <v>153</v>
      </c>
      <c r="P29" s="363">
        <v>15</v>
      </c>
      <c r="Q29" s="363">
        <v>319</v>
      </c>
      <c r="R29" s="363">
        <v>5</v>
      </c>
      <c r="S29" s="363">
        <v>1686</v>
      </c>
      <c r="U29" s="363">
        <v>1440</v>
      </c>
      <c r="V29" s="363">
        <v>0</v>
      </c>
      <c r="W29" s="363">
        <v>0</v>
      </c>
      <c r="X29" s="363">
        <v>246</v>
      </c>
      <c r="Y29" s="363">
        <v>157</v>
      </c>
      <c r="Z29" s="363">
        <v>0</v>
      </c>
      <c r="AA29" s="363">
        <v>0</v>
      </c>
      <c r="AB29" s="363">
        <v>403</v>
      </c>
      <c r="AD29" s="363">
        <v>1788</v>
      </c>
      <c r="AG29" s="363">
        <v>-554</v>
      </c>
      <c r="AH29" s="349"/>
      <c r="AJ29" s="363">
        <v>5794</v>
      </c>
      <c r="AL29" s="363">
        <v>16971</v>
      </c>
      <c r="AN29" s="349"/>
      <c r="AO29" s="454">
        <v>3196</v>
      </c>
      <c r="AP29" s="478">
        <v>21</v>
      </c>
      <c r="AQ29" s="213"/>
      <c r="AS29" s="509">
        <v>4161</v>
      </c>
      <c r="AT29" s="349">
        <v>28755</v>
      </c>
      <c r="AU29" s="480">
        <v>-24594</v>
      </c>
      <c r="AV29" s="199">
        <v>8430</v>
      </c>
      <c r="AW29" s="199">
        <v>2534</v>
      </c>
      <c r="AX29" s="199">
        <v>1230</v>
      </c>
      <c r="AY29" s="199">
        <v>12194</v>
      </c>
      <c r="AZ29" s="199">
        <v>14537</v>
      </c>
      <c r="BA29" s="181">
        <v>144</v>
      </c>
      <c r="BB29" s="511">
        <v>16</v>
      </c>
      <c r="BC29" s="181">
        <v>319</v>
      </c>
      <c r="BD29" s="181">
        <v>8</v>
      </c>
      <c r="BE29" s="199">
        <v>2576</v>
      </c>
      <c r="BG29" s="183">
        <v>1546</v>
      </c>
      <c r="BH29" s="183">
        <v>575</v>
      </c>
      <c r="BI29" s="183">
        <v>342</v>
      </c>
      <c r="BJ29" s="199">
        <v>1263</v>
      </c>
      <c r="BK29" s="199">
        <v>285</v>
      </c>
      <c r="BL29" s="183">
        <v>0</v>
      </c>
      <c r="BM29" s="183">
        <v>0</v>
      </c>
      <c r="BN29" s="199">
        <v>1548</v>
      </c>
      <c r="BP29" s="199">
        <v>3336</v>
      </c>
      <c r="BS29" s="211"/>
      <c r="BV29" s="514">
        <v>4933</v>
      </c>
      <c r="BX29" s="181">
        <v>14457</v>
      </c>
      <c r="BZ29" s="349"/>
      <c r="CB29" s="340"/>
      <c r="CC29" s="488">
        <v>21</v>
      </c>
      <c r="CD29" s="378"/>
      <c r="CE29" s="378"/>
      <c r="CF29" s="195"/>
      <c r="CG29" s="349"/>
      <c r="CI29" s="181">
        <v>11652</v>
      </c>
      <c r="CJ29" s="183">
        <v>0</v>
      </c>
      <c r="CK29" s="421">
        <v>13785.223646508512</v>
      </c>
      <c r="CL29" s="494">
        <v>13749.970135681131</v>
      </c>
      <c r="CM29" s="483">
        <v>951.14365643453607</v>
      </c>
      <c r="CN29" s="483">
        <v>1320.9216771590213</v>
      </c>
      <c r="CO29" s="483">
        <v>1369.0357432701094</v>
      </c>
      <c r="CP29" s="433">
        <f t="shared" si="0"/>
        <v>-215.22364650851159</v>
      </c>
      <c r="CQ29" s="212"/>
      <c r="CR29" s="212">
        <v>-303</v>
      </c>
      <c r="CS29" s="212">
        <v>-2135</v>
      </c>
      <c r="CT29" s="183">
        <v>0</v>
      </c>
      <c r="CU29" s="183">
        <v>1056</v>
      </c>
      <c r="CV29" s="485">
        <v>-11</v>
      </c>
      <c r="CX29" s="422"/>
      <c r="CY29" s="475"/>
      <c r="CZ29" s="450"/>
      <c r="DA29" s="394"/>
      <c r="DB29" s="394"/>
      <c r="DC29" s="347"/>
      <c r="DD29" s="394"/>
      <c r="DE29" s="394"/>
      <c r="DF29" s="394"/>
      <c r="DG29" s="394"/>
      <c r="DH29" s="394"/>
    </row>
    <row r="30" spans="1:112" x14ac:dyDescent="0.25">
      <c r="A30" s="179">
        <v>91</v>
      </c>
      <c r="B30" s="181" t="s">
        <v>65</v>
      </c>
      <c r="C30" s="373">
        <v>653835</v>
      </c>
      <c r="D30" s="360">
        <v>18</v>
      </c>
      <c r="E30" s="213"/>
      <c r="G30" s="363">
        <v>1381733</v>
      </c>
      <c r="H30" s="363">
        <v>4500217</v>
      </c>
      <c r="I30" s="349"/>
      <c r="J30" s="363">
        <v>2632935</v>
      </c>
      <c r="K30" s="363">
        <v>586905</v>
      </c>
      <c r="L30" s="363">
        <v>273892</v>
      </c>
      <c r="M30" s="363">
        <v>3493732</v>
      </c>
      <c r="N30" s="363">
        <v>232776</v>
      </c>
      <c r="O30" s="363">
        <v>77807</v>
      </c>
      <c r="P30" s="363">
        <v>16586</v>
      </c>
      <c r="Q30" s="363">
        <v>72512</v>
      </c>
      <c r="R30" s="363">
        <v>345</v>
      </c>
      <c r="S30" s="363">
        <v>741412</v>
      </c>
      <c r="U30" s="363">
        <v>364436</v>
      </c>
      <c r="V30" s="363">
        <v>0</v>
      </c>
      <c r="W30" s="363">
        <v>0</v>
      </c>
      <c r="X30" s="363">
        <v>376976</v>
      </c>
      <c r="Y30" s="363">
        <v>-271</v>
      </c>
      <c r="Z30" s="363">
        <v>-2699</v>
      </c>
      <c r="AA30" s="363">
        <v>5222</v>
      </c>
      <c r="AB30" s="363">
        <v>379228</v>
      </c>
      <c r="AD30" s="363">
        <v>6102098</v>
      </c>
      <c r="AG30" s="363">
        <v>-584156</v>
      </c>
      <c r="AH30" s="349"/>
      <c r="AJ30" s="363">
        <v>1112045</v>
      </c>
      <c r="AL30" s="363">
        <v>1013566</v>
      </c>
      <c r="AN30" s="349"/>
      <c r="AO30" s="454">
        <v>656920</v>
      </c>
      <c r="AP30" s="478">
        <v>18</v>
      </c>
      <c r="AQ30" s="213"/>
      <c r="AS30" s="509">
        <v>1338032</v>
      </c>
      <c r="AT30" s="349">
        <v>4662369</v>
      </c>
      <c r="AU30" s="480">
        <v>-3324337</v>
      </c>
      <c r="AV30" s="199">
        <v>2791940</v>
      </c>
      <c r="AW30" s="199">
        <v>519324</v>
      </c>
      <c r="AX30" s="199">
        <v>254334</v>
      </c>
      <c r="AY30" s="199">
        <v>3565598</v>
      </c>
      <c r="AZ30" s="199">
        <v>479558</v>
      </c>
      <c r="BA30" s="181">
        <v>70757</v>
      </c>
      <c r="BB30" s="511">
        <v>15562</v>
      </c>
      <c r="BC30" s="181">
        <v>87922</v>
      </c>
      <c r="BD30" s="181">
        <v>559</v>
      </c>
      <c r="BE30" s="199">
        <v>863377</v>
      </c>
      <c r="BG30" s="183">
        <v>375929</v>
      </c>
      <c r="BH30" s="199">
        <v>9280</v>
      </c>
      <c r="BI30" s="199">
        <v>0</v>
      </c>
      <c r="BJ30" s="199">
        <v>496728</v>
      </c>
      <c r="BK30" s="199">
        <v>-2141</v>
      </c>
      <c r="BL30" s="199">
        <v>2192</v>
      </c>
      <c r="BM30" s="199">
        <v>1822</v>
      </c>
      <c r="BN30" s="199">
        <v>498601</v>
      </c>
      <c r="BP30" s="199">
        <v>6540699</v>
      </c>
      <c r="BS30" s="211"/>
      <c r="BV30" s="514">
        <v>1320170</v>
      </c>
      <c r="BX30" s="181">
        <v>992024</v>
      </c>
      <c r="BZ30" s="349"/>
      <c r="CB30" s="340"/>
      <c r="CC30" s="488">
        <v>18</v>
      </c>
      <c r="CD30" s="378"/>
      <c r="CE30" s="378"/>
      <c r="CF30" s="195"/>
      <c r="CG30" s="349"/>
      <c r="CI30" s="181">
        <v>250053</v>
      </c>
      <c r="CJ30" s="183">
        <v>0</v>
      </c>
      <c r="CK30" s="421">
        <v>321806.90109335631</v>
      </c>
      <c r="CL30" s="494">
        <v>315862.50967387279</v>
      </c>
      <c r="CM30" s="483">
        <v>210007.40587707341</v>
      </c>
      <c r="CN30" s="483">
        <v>247089.27814572898</v>
      </c>
      <c r="CO30" s="483">
        <v>273708.22471766791</v>
      </c>
      <c r="CP30" s="433">
        <f t="shared" si="0"/>
        <v>-89030.901093356311</v>
      </c>
      <c r="CQ30" s="212"/>
      <c r="CR30" s="212">
        <v>-143568</v>
      </c>
      <c r="CS30" s="212">
        <v>-1046592</v>
      </c>
      <c r="CT30" s="183">
        <v>25687</v>
      </c>
      <c r="CU30" s="183">
        <v>283036</v>
      </c>
      <c r="CV30" s="485">
        <v>55712</v>
      </c>
      <c r="CX30" s="422"/>
      <c r="CY30" s="475"/>
      <c r="CZ30" s="450"/>
      <c r="DA30" s="394"/>
      <c r="DB30" s="394"/>
      <c r="DC30" s="347"/>
      <c r="DD30" s="394"/>
      <c r="DE30" s="394"/>
      <c r="DF30" s="394"/>
      <c r="DG30" s="394"/>
      <c r="DH30" s="394"/>
    </row>
    <row r="31" spans="1:112" x14ac:dyDescent="0.25">
      <c r="A31" s="179">
        <v>97</v>
      </c>
      <c r="B31" s="181" t="s">
        <v>66</v>
      </c>
      <c r="C31" s="373">
        <v>2136</v>
      </c>
      <c r="D31" s="360">
        <v>20</v>
      </c>
      <c r="E31" s="213"/>
      <c r="G31" s="363">
        <v>2784</v>
      </c>
      <c r="H31" s="363">
        <v>17110</v>
      </c>
      <c r="I31" s="349"/>
      <c r="J31" s="363">
        <v>5569</v>
      </c>
      <c r="K31" s="363">
        <v>935</v>
      </c>
      <c r="L31" s="363">
        <v>1317</v>
      </c>
      <c r="M31" s="363">
        <v>7821</v>
      </c>
      <c r="N31" s="363">
        <v>6866</v>
      </c>
      <c r="O31" s="363">
        <v>0</v>
      </c>
      <c r="P31" s="363">
        <v>1</v>
      </c>
      <c r="Q31" s="363">
        <v>335</v>
      </c>
      <c r="R31" s="363">
        <v>0</v>
      </c>
      <c r="S31" s="363">
        <v>695</v>
      </c>
      <c r="U31" s="363">
        <v>666</v>
      </c>
      <c r="V31" s="363">
        <v>952</v>
      </c>
      <c r="W31" s="363">
        <v>0</v>
      </c>
      <c r="X31" s="363">
        <v>981</v>
      </c>
      <c r="Y31" s="363">
        <v>0</v>
      </c>
      <c r="Z31" s="363">
        <v>0</v>
      </c>
      <c r="AA31" s="363">
        <v>0</v>
      </c>
      <c r="AB31" s="363">
        <v>981</v>
      </c>
      <c r="AD31" s="363">
        <v>6686</v>
      </c>
      <c r="AG31" s="363">
        <v>902</v>
      </c>
      <c r="AH31" s="349"/>
      <c r="AJ31" s="363">
        <v>12112</v>
      </c>
      <c r="AL31" s="363">
        <v>166</v>
      </c>
      <c r="AN31" s="349"/>
      <c r="AO31" s="454">
        <v>2156</v>
      </c>
      <c r="AP31" s="478">
        <v>20</v>
      </c>
      <c r="AQ31" s="213"/>
      <c r="AS31" s="509">
        <v>2779</v>
      </c>
      <c r="AT31" s="349">
        <v>17390</v>
      </c>
      <c r="AU31" s="480">
        <v>-14611</v>
      </c>
      <c r="AV31" s="199">
        <v>5595</v>
      </c>
      <c r="AW31" s="199">
        <v>1068</v>
      </c>
      <c r="AX31" s="199">
        <v>1200</v>
      </c>
      <c r="AY31" s="199">
        <v>7863</v>
      </c>
      <c r="AZ31" s="199">
        <v>7444</v>
      </c>
      <c r="BA31" s="181">
        <v>0</v>
      </c>
      <c r="BB31" s="511">
        <v>3</v>
      </c>
      <c r="BC31" s="181">
        <v>435</v>
      </c>
      <c r="BD31" s="181">
        <v>0</v>
      </c>
      <c r="BE31" s="199">
        <v>1128</v>
      </c>
      <c r="BG31" s="183">
        <v>826</v>
      </c>
      <c r="BH31" s="183">
        <v>0</v>
      </c>
      <c r="BI31" s="183">
        <v>0</v>
      </c>
      <c r="BJ31" s="199">
        <v>302</v>
      </c>
      <c r="BK31" s="183">
        <v>0</v>
      </c>
      <c r="BL31" s="199">
        <v>0</v>
      </c>
      <c r="BM31" s="183">
        <v>0</v>
      </c>
      <c r="BN31" s="199">
        <v>302</v>
      </c>
      <c r="BP31" s="199">
        <v>6988</v>
      </c>
      <c r="BS31" s="211"/>
      <c r="BV31" s="514">
        <v>11619</v>
      </c>
      <c r="BX31" s="181">
        <v>33</v>
      </c>
      <c r="BZ31" s="349"/>
      <c r="CB31" s="340"/>
      <c r="CC31" s="488">
        <v>20</v>
      </c>
      <c r="CD31" s="378"/>
      <c r="CE31" s="378"/>
      <c r="CF31" s="195"/>
      <c r="CG31" s="349"/>
      <c r="CI31" s="181">
        <v>6724</v>
      </c>
      <c r="CJ31" s="183">
        <v>0</v>
      </c>
      <c r="CK31" s="421">
        <v>7242.6389192926363</v>
      </c>
      <c r="CL31" s="494">
        <v>7419.8885564943339</v>
      </c>
      <c r="CM31" s="483">
        <v>756.23562355212152</v>
      </c>
      <c r="CN31" s="483">
        <v>693.28654446132373</v>
      </c>
      <c r="CO31" s="483">
        <v>749.2716420393906</v>
      </c>
      <c r="CP31" s="433">
        <f t="shared" si="0"/>
        <v>-376.63891929263627</v>
      </c>
      <c r="CQ31" s="212"/>
      <c r="CR31" s="212">
        <v>0</v>
      </c>
      <c r="CS31" s="212">
        <v>-1470</v>
      </c>
      <c r="CT31" s="183">
        <v>277</v>
      </c>
      <c r="CU31" s="183">
        <v>15</v>
      </c>
      <c r="CV31" s="485">
        <v>-9</v>
      </c>
      <c r="CX31" s="422"/>
      <c r="CY31" s="475"/>
      <c r="CZ31" s="450"/>
      <c r="DA31" s="394"/>
      <c r="DB31" s="394"/>
      <c r="DC31" s="347"/>
      <c r="DD31" s="394"/>
      <c r="DE31" s="394"/>
      <c r="DF31" s="394"/>
      <c r="DG31" s="394"/>
      <c r="DH31" s="394"/>
    </row>
    <row r="32" spans="1:112" x14ac:dyDescent="0.25">
      <c r="A32" s="179">
        <v>98</v>
      </c>
      <c r="B32" s="181" t="s">
        <v>67</v>
      </c>
      <c r="C32" s="373">
        <v>23410</v>
      </c>
      <c r="D32" s="360">
        <v>21</v>
      </c>
      <c r="E32" s="213"/>
      <c r="G32" s="363">
        <v>13838</v>
      </c>
      <c r="H32" s="363">
        <v>137188</v>
      </c>
      <c r="I32" s="349"/>
      <c r="J32" s="363">
        <v>83879</v>
      </c>
      <c r="K32" s="363">
        <v>2949</v>
      </c>
      <c r="L32" s="363">
        <v>5776</v>
      </c>
      <c r="M32" s="363">
        <v>92604</v>
      </c>
      <c r="N32" s="363">
        <v>37747</v>
      </c>
      <c r="O32" s="363">
        <v>6</v>
      </c>
      <c r="P32" s="363">
        <v>659</v>
      </c>
      <c r="Q32" s="363">
        <v>1203</v>
      </c>
      <c r="R32" s="363">
        <v>4</v>
      </c>
      <c r="S32" s="363">
        <v>7547</v>
      </c>
      <c r="U32" s="363">
        <v>8992</v>
      </c>
      <c r="V32" s="363">
        <v>787</v>
      </c>
      <c r="W32" s="363">
        <v>0</v>
      </c>
      <c r="X32" s="363">
        <v>-658</v>
      </c>
      <c r="Y32" s="363">
        <v>6</v>
      </c>
      <c r="Z32" s="363">
        <v>0</v>
      </c>
      <c r="AA32" s="363">
        <v>0</v>
      </c>
      <c r="AB32" s="363">
        <v>-652</v>
      </c>
      <c r="AD32" s="363">
        <v>16371</v>
      </c>
      <c r="AG32" s="363">
        <v>-5807</v>
      </c>
      <c r="AH32" s="349"/>
      <c r="AJ32" s="363">
        <v>9812</v>
      </c>
      <c r="AL32" s="363">
        <v>40484</v>
      </c>
      <c r="AN32" s="349"/>
      <c r="AO32" s="454">
        <v>23251</v>
      </c>
      <c r="AP32" s="478">
        <v>21</v>
      </c>
      <c r="AQ32" s="213"/>
      <c r="AS32" s="509">
        <v>12710</v>
      </c>
      <c r="AT32" s="349">
        <v>136342</v>
      </c>
      <c r="AU32" s="480">
        <v>-123632</v>
      </c>
      <c r="AV32" s="199">
        <v>89541</v>
      </c>
      <c r="AW32" s="199">
        <v>3406</v>
      </c>
      <c r="AX32" s="199">
        <v>5284</v>
      </c>
      <c r="AY32" s="199">
        <v>98231</v>
      </c>
      <c r="AZ32" s="199">
        <v>48255</v>
      </c>
      <c r="BA32" s="181">
        <v>5</v>
      </c>
      <c r="BB32" s="511">
        <v>328</v>
      </c>
      <c r="BC32" s="181">
        <v>1151</v>
      </c>
      <c r="BD32" s="181">
        <v>3</v>
      </c>
      <c r="BE32" s="199">
        <v>23679</v>
      </c>
      <c r="BG32" s="183">
        <v>9495</v>
      </c>
      <c r="BH32" s="183">
        <v>0</v>
      </c>
      <c r="BI32" s="183">
        <v>0</v>
      </c>
      <c r="BJ32" s="199">
        <v>14184</v>
      </c>
      <c r="BK32" s="199">
        <v>6</v>
      </c>
      <c r="BL32" s="183">
        <v>-6000</v>
      </c>
      <c r="BM32" s="183">
        <v>0</v>
      </c>
      <c r="BN32" s="199">
        <v>8190</v>
      </c>
      <c r="BP32" s="199">
        <v>24560</v>
      </c>
      <c r="BS32" s="211"/>
      <c r="BV32" s="514">
        <v>18043</v>
      </c>
      <c r="BX32" s="181">
        <v>45429</v>
      </c>
      <c r="BZ32" s="349"/>
      <c r="CB32" s="340"/>
      <c r="CC32" s="488">
        <v>21</v>
      </c>
      <c r="CD32" s="378"/>
      <c r="CE32" s="378"/>
      <c r="CF32" s="195"/>
      <c r="CG32" s="349"/>
      <c r="CI32" s="181">
        <v>24606</v>
      </c>
      <c r="CJ32" s="183">
        <v>0</v>
      </c>
      <c r="CK32" s="421">
        <v>43576.031416701793</v>
      </c>
      <c r="CL32" s="494">
        <v>46196.614563122916</v>
      </c>
      <c r="CM32" s="483">
        <v>16972.651015495263</v>
      </c>
      <c r="CN32" s="483">
        <v>15637.248959880053</v>
      </c>
      <c r="CO32" s="483">
        <v>14852.171641717759</v>
      </c>
      <c r="CP32" s="433">
        <f t="shared" si="0"/>
        <v>-5829.0314167017932</v>
      </c>
      <c r="CQ32" s="212"/>
      <c r="CR32" s="212">
        <v>-94</v>
      </c>
      <c r="CS32" s="212">
        <v>-18805</v>
      </c>
      <c r="CT32" s="183">
        <v>90</v>
      </c>
      <c r="CU32" s="183">
        <v>234</v>
      </c>
      <c r="CV32" s="485">
        <v>-5</v>
      </c>
      <c r="CX32" s="422"/>
      <c r="CY32" s="475"/>
      <c r="CZ32" s="450"/>
      <c r="DA32" s="394"/>
      <c r="DB32" s="394"/>
      <c r="DC32" s="347"/>
      <c r="DD32" s="394"/>
      <c r="DE32" s="394"/>
      <c r="DF32" s="394"/>
      <c r="DG32" s="394"/>
      <c r="DH32" s="394"/>
    </row>
    <row r="33" spans="1:112" x14ac:dyDescent="0.25">
      <c r="A33" s="179">
        <v>102</v>
      </c>
      <c r="B33" s="181" t="s">
        <v>68</v>
      </c>
      <c r="C33" s="373">
        <v>10044</v>
      </c>
      <c r="D33" s="360">
        <v>21</v>
      </c>
      <c r="E33" s="213"/>
      <c r="G33" s="363">
        <v>11100</v>
      </c>
      <c r="H33" s="363">
        <v>70130</v>
      </c>
      <c r="I33" s="349"/>
      <c r="J33" s="363">
        <v>29044</v>
      </c>
      <c r="K33" s="363">
        <v>2108</v>
      </c>
      <c r="L33" s="363">
        <v>2470</v>
      </c>
      <c r="M33" s="363">
        <v>33622</v>
      </c>
      <c r="N33" s="363">
        <v>26079</v>
      </c>
      <c r="O33" s="363">
        <v>0</v>
      </c>
      <c r="P33" s="363">
        <v>217</v>
      </c>
      <c r="Q33" s="363">
        <v>98</v>
      </c>
      <c r="R33" s="363">
        <v>5</v>
      </c>
      <c r="S33" s="363">
        <v>547</v>
      </c>
      <c r="U33" s="363">
        <v>4456</v>
      </c>
      <c r="V33" s="363">
        <v>0</v>
      </c>
      <c r="W33" s="363">
        <v>0</v>
      </c>
      <c r="X33" s="363">
        <v>-3909</v>
      </c>
      <c r="Y33" s="363">
        <v>15</v>
      </c>
      <c r="Z33" s="363">
        <v>0</v>
      </c>
      <c r="AA33" s="363">
        <v>0</v>
      </c>
      <c r="AB33" s="363">
        <v>-3894</v>
      </c>
      <c r="AD33" s="363">
        <v>725</v>
      </c>
      <c r="AG33" s="363">
        <v>-2883</v>
      </c>
      <c r="AH33" s="349"/>
      <c r="AJ33" s="363">
        <v>3523</v>
      </c>
      <c r="AL33" s="363">
        <v>27681</v>
      </c>
      <c r="AN33" s="349"/>
      <c r="AO33" s="454">
        <v>9937</v>
      </c>
      <c r="AP33" s="478">
        <v>21</v>
      </c>
      <c r="AQ33" s="213"/>
      <c r="AS33" s="509">
        <v>10473</v>
      </c>
      <c r="AT33" s="349">
        <v>68148</v>
      </c>
      <c r="AU33" s="480">
        <v>-57675</v>
      </c>
      <c r="AV33" s="199">
        <v>31147</v>
      </c>
      <c r="AW33" s="199">
        <v>2209</v>
      </c>
      <c r="AX33" s="199">
        <v>2614</v>
      </c>
      <c r="AY33" s="199">
        <v>35970</v>
      </c>
      <c r="AZ33" s="199">
        <v>29973</v>
      </c>
      <c r="BA33" s="181">
        <v>2</v>
      </c>
      <c r="BB33" s="511">
        <v>182</v>
      </c>
      <c r="BC33" s="181">
        <v>97</v>
      </c>
      <c r="BD33" s="181">
        <v>4</v>
      </c>
      <c r="BE33" s="199">
        <v>8181</v>
      </c>
      <c r="BG33" s="183">
        <v>3855</v>
      </c>
      <c r="BH33" s="183">
        <v>0</v>
      </c>
      <c r="BI33" s="199">
        <v>0</v>
      </c>
      <c r="BJ33" s="199">
        <v>4326</v>
      </c>
      <c r="BK33" s="183">
        <v>14</v>
      </c>
      <c r="BL33" s="183">
        <v>0</v>
      </c>
      <c r="BM33" s="183">
        <v>0</v>
      </c>
      <c r="BN33" s="199">
        <v>4340</v>
      </c>
      <c r="BP33" s="199">
        <v>5065</v>
      </c>
      <c r="BS33" s="211"/>
      <c r="BV33" s="514">
        <v>8968</v>
      </c>
      <c r="BX33" s="181">
        <v>28859</v>
      </c>
      <c r="BZ33" s="349"/>
      <c r="CB33" s="340"/>
      <c r="CC33" s="488">
        <v>21</v>
      </c>
      <c r="CD33" s="378"/>
      <c r="CE33" s="378"/>
      <c r="CF33" s="195"/>
      <c r="CG33" s="349"/>
      <c r="CI33" s="181">
        <v>23195</v>
      </c>
      <c r="CJ33" s="183">
        <v>0</v>
      </c>
      <c r="CK33" s="421">
        <v>27564.047011571081</v>
      </c>
      <c r="CL33" s="494">
        <v>29038.438435523003</v>
      </c>
      <c r="CM33" s="483">
        <v>5430.8297255942871</v>
      </c>
      <c r="CN33" s="483">
        <v>5366.4912258690929</v>
      </c>
      <c r="CO33" s="483">
        <v>5250.6959505462055</v>
      </c>
      <c r="CP33" s="433">
        <f t="shared" si="0"/>
        <v>-1485.0470115710814</v>
      </c>
      <c r="CQ33" s="212"/>
      <c r="CR33" s="212">
        <v>-226</v>
      </c>
      <c r="CS33" s="212">
        <v>-5097</v>
      </c>
      <c r="CT33" s="183">
        <v>158</v>
      </c>
      <c r="CU33" s="183">
        <v>215</v>
      </c>
      <c r="CV33" s="485">
        <v>-2</v>
      </c>
      <c r="CX33" s="422"/>
      <c r="CY33" s="475"/>
      <c r="CZ33" s="450"/>
      <c r="DA33" s="394"/>
      <c r="DB33" s="394"/>
      <c r="DC33" s="347"/>
      <c r="DD33" s="394"/>
      <c r="DE33" s="394"/>
      <c r="DF33" s="394"/>
      <c r="DG33" s="394"/>
      <c r="DH33" s="394"/>
    </row>
    <row r="34" spans="1:112" x14ac:dyDescent="0.25">
      <c r="A34" s="179">
        <v>103</v>
      </c>
      <c r="B34" s="181" t="s">
        <v>69</v>
      </c>
      <c r="C34" s="373">
        <v>2184</v>
      </c>
      <c r="D34" s="360">
        <v>22</v>
      </c>
      <c r="E34" s="213"/>
      <c r="G34" s="363">
        <v>1095</v>
      </c>
      <c r="H34" s="363">
        <v>14250</v>
      </c>
      <c r="I34" s="349"/>
      <c r="J34" s="363">
        <v>6757</v>
      </c>
      <c r="K34" s="363">
        <v>409</v>
      </c>
      <c r="L34" s="363">
        <v>602</v>
      </c>
      <c r="M34" s="363">
        <v>7768</v>
      </c>
      <c r="N34" s="363">
        <v>5701</v>
      </c>
      <c r="O34" s="363">
        <v>9</v>
      </c>
      <c r="P34" s="363">
        <v>48</v>
      </c>
      <c r="Q34" s="363">
        <v>3</v>
      </c>
      <c r="R34" s="363">
        <v>0</v>
      </c>
      <c r="S34" s="363">
        <v>278</v>
      </c>
      <c r="U34" s="363">
        <v>378</v>
      </c>
      <c r="V34" s="363">
        <v>0</v>
      </c>
      <c r="W34" s="363">
        <v>0</v>
      </c>
      <c r="X34" s="363">
        <v>-100</v>
      </c>
      <c r="Y34" s="363">
        <v>0</v>
      </c>
      <c r="Z34" s="363">
        <v>0</v>
      </c>
      <c r="AA34" s="363">
        <v>0</v>
      </c>
      <c r="AB34" s="363">
        <v>-100</v>
      </c>
      <c r="AD34" s="363">
        <v>-378</v>
      </c>
      <c r="AG34" s="363">
        <v>663</v>
      </c>
      <c r="AH34" s="349"/>
      <c r="AJ34" s="363">
        <v>766</v>
      </c>
      <c r="AL34" s="363">
        <v>5875</v>
      </c>
      <c r="AN34" s="349"/>
      <c r="AO34" s="454">
        <v>2174</v>
      </c>
      <c r="AP34" s="478">
        <v>22</v>
      </c>
      <c r="AQ34" s="213"/>
      <c r="AS34" s="509">
        <v>1240</v>
      </c>
      <c r="AT34" s="349">
        <v>14115</v>
      </c>
      <c r="AU34" s="480">
        <v>-12875</v>
      </c>
      <c r="AV34" s="199">
        <v>6564</v>
      </c>
      <c r="AW34" s="199">
        <v>458</v>
      </c>
      <c r="AX34" s="199">
        <v>561</v>
      </c>
      <c r="AY34" s="199">
        <v>7583</v>
      </c>
      <c r="AZ34" s="199">
        <v>6236</v>
      </c>
      <c r="BA34" s="181">
        <v>9</v>
      </c>
      <c r="BB34" s="511">
        <v>42</v>
      </c>
      <c r="BC34" s="181">
        <v>3</v>
      </c>
      <c r="BD34" s="181">
        <v>0</v>
      </c>
      <c r="BE34" s="199">
        <v>914</v>
      </c>
      <c r="BG34" s="183">
        <v>355</v>
      </c>
      <c r="BH34" s="183">
        <v>0</v>
      </c>
      <c r="BI34" s="183">
        <v>0</v>
      </c>
      <c r="BJ34" s="199">
        <v>559</v>
      </c>
      <c r="BK34" s="199">
        <v>2</v>
      </c>
      <c r="BL34" s="183">
        <v>0</v>
      </c>
      <c r="BM34" s="183">
        <v>0</v>
      </c>
      <c r="BN34" s="199">
        <v>561</v>
      </c>
      <c r="BP34" s="199">
        <v>184</v>
      </c>
      <c r="BS34" s="211"/>
      <c r="BV34" s="514">
        <v>683</v>
      </c>
      <c r="BX34" s="181">
        <v>5225</v>
      </c>
      <c r="BZ34" s="349"/>
      <c r="CB34" s="340"/>
      <c r="CC34" s="488">
        <v>22</v>
      </c>
      <c r="CD34" s="378"/>
      <c r="CE34" s="378"/>
      <c r="CF34" s="195"/>
      <c r="CG34" s="349"/>
      <c r="CH34" s="347"/>
      <c r="CI34" s="181">
        <v>5455</v>
      </c>
      <c r="CJ34" s="183">
        <v>350</v>
      </c>
      <c r="CK34" s="421">
        <v>5775.7161047098816</v>
      </c>
      <c r="CL34" s="494">
        <v>5922.5043556197543</v>
      </c>
      <c r="CM34" s="483">
        <v>1724.542734994292</v>
      </c>
      <c r="CN34" s="483">
        <v>1469.1245079703424</v>
      </c>
      <c r="CO34" s="483">
        <v>1303.5947497305488</v>
      </c>
      <c r="CP34" s="433">
        <f t="shared" si="0"/>
        <v>-74.71610470988162</v>
      </c>
      <c r="CQ34" s="212"/>
      <c r="CR34" s="212">
        <v>-21</v>
      </c>
      <c r="CS34" s="212">
        <v>-229</v>
      </c>
      <c r="CT34" s="183">
        <v>14</v>
      </c>
      <c r="CU34" s="183">
        <v>27</v>
      </c>
      <c r="CV34" s="485">
        <v>4</v>
      </c>
      <c r="CX34" s="422"/>
      <c r="CY34" s="475"/>
      <c r="CZ34" s="450"/>
      <c r="DA34" s="394"/>
      <c r="DB34" s="394"/>
      <c r="DC34" s="347"/>
      <c r="DD34" s="394"/>
      <c r="DE34" s="394"/>
      <c r="DF34" s="394"/>
      <c r="DG34" s="394"/>
      <c r="DH34" s="394"/>
    </row>
    <row r="35" spans="1:112" x14ac:dyDescent="0.25">
      <c r="A35" s="179">
        <v>105</v>
      </c>
      <c r="B35" s="181" t="s">
        <v>70</v>
      </c>
      <c r="C35" s="373">
        <v>2271</v>
      </c>
      <c r="D35" s="360">
        <v>21.75</v>
      </c>
      <c r="E35" s="213"/>
      <c r="G35" s="363">
        <v>2209</v>
      </c>
      <c r="H35" s="363">
        <v>20376</v>
      </c>
      <c r="I35" s="349"/>
      <c r="J35" s="363">
        <v>6197</v>
      </c>
      <c r="K35" s="363">
        <v>772</v>
      </c>
      <c r="L35" s="363">
        <v>1176</v>
      </c>
      <c r="M35" s="363">
        <v>8145</v>
      </c>
      <c r="N35" s="363">
        <v>11004</v>
      </c>
      <c r="O35" s="363">
        <v>3</v>
      </c>
      <c r="P35" s="363">
        <v>14</v>
      </c>
      <c r="Q35" s="363">
        <v>22</v>
      </c>
      <c r="R35" s="363">
        <v>2</v>
      </c>
      <c r="S35" s="363">
        <v>991</v>
      </c>
      <c r="U35" s="363">
        <v>488</v>
      </c>
      <c r="V35" s="363">
        <v>0</v>
      </c>
      <c r="W35" s="363">
        <v>0</v>
      </c>
      <c r="X35" s="363">
        <v>503</v>
      </c>
      <c r="Y35" s="363">
        <v>52</v>
      </c>
      <c r="Z35" s="363">
        <v>0</v>
      </c>
      <c r="AA35" s="363">
        <v>0</v>
      </c>
      <c r="AB35" s="363">
        <v>555</v>
      </c>
      <c r="AD35" s="363">
        <v>1136</v>
      </c>
      <c r="AG35" s="363">
        <v>-293</v>
      </c>
      <c r="AH35" s="349"/>
      <c r="AJ35" s="363">
        <v>1331</v>
      </c>
      <c r="AL35" s="363">
        <v>3243</v>
      </c>
      <c r="AN35" s="349"/>
      <c r="AO35" s="454">
        <v>2199</v>
      </c>
      <c r="AP35" s="478">
        <v>21.75</v>
      </c>
      <c r="AQ35" s="213"/>
      <c r="AS35" s="509">
        <v>2245</v>
      </c>
      <c r="AT35" s="349">
        <v>20473</v>
      </c>
      <c r="AU35" s="480">
        <v>-18228</v>
      </c>
      <c r="AV35" s="199">
        <v>6147</v>
      </c>
      <c r="AW35" s="199">
        <v>845</v>
      </c>
      <c r="AX35" s="199">
        <v>1059</v>
      </c>
      <c r="AY35" s="199">
        <v>8051</v>
      </c>
      <c r="AZ35" s="199">
        <v>11034</v>
      </c>
      <c r="BA35" s="181">
        <v>7</v>
      </c>
      <c r="BB35" s="511">
        <v>9</v>
      </c>
      <c r="BC35" s="181">
        <v>10</v>
      </c>
      <c r="BD35" s="181">
        <v>2</v>
      </c>
      <c r="BE35" s="199">
        <v>863</v>
      </c>
      <c r="BG35" s="183">
        <v>477</v>
      </c>
      <c r="BH35" s="199">
        <v>0</v>
      </c>
      <c r="BI35" s="199">
        <v>0</v>
      </c>
      <c r="BJ35" s="199">
        <v>386</v>
      </c>
      <c r="BK35" s="199">
        <v>52</v>
      </c>
      <c r="BL35" s="199">
        <v>0</v>
      </c>
      <c r="BM35" s="183">
        <v>0</v>
      </c>
      <c r="BN35" s="199">
        <v>438</v>
      </c>
      <c r="BP35" s="199">
        <v>1573</v>
      </c>
      <c r="BS35" s="211"/>
      <c r="BV35" s="514">
        <v>2115</v>
      </c>
      <c r="BX35" s="181">
        <v>2778</v>
      </c>
      <c r="BZ35" s="349"/>
      <c r="CB35" s="340"/>
      <c r="CC35" s="488">
        <v>21.75</v>
      </c>
      <c r="CD35" s="378"/>
      <c r="CE35" s="378"/>
      <c r="CF35" s="195"/>
      <c r="CG35" s="349"/>
      <c r="CH35" s="347"/>
      <c r="CI35" s="181">
        <v>9997</v>
      </c>
      <c r="CJ35" s="183">
        <v>0</v>
      </c>
      <c r="CK35" s="421">
        <v>10633.251977835242</v>
      </c>
      <c r="CL35" s="494">
        <v>12190.572542494385</v>
      </c>
      <c r="CM35" s="483">
        <v>3352.2587484035203</v>
      </c>
      <c r="CN35" s="483">
        <v>3357.3871696322481</v>
      </c>
      <c r="CO35" s="483">
        <v>3283.7360115726879</v>
      </c>
      <c r="CP35" s="433">
        <f t="shared" si="0"/>
        <v>370.74802216475837</v>
      </c>
      <c r="CQ35" s="212"/>
      <c r="CR35" s="212">
        <v>-3</v>
      </c>
      <c r="CS35" s="212">
        <v>-422</v>
      </c>
      <c r="CT35" s="183">
        <v>179</v>
      </c>
      <c r="CU35" s="183">
        <v>3</v>
      </c>
      <c r="CV35" s="485">
        <v>0</v>
      </c>
      <c r="CX35" s="422"/>
      <c r="CY35" s="475"/>
      <c r="CZ35" s="450"/>
      <c r="DA35" s="394"/>
      <c r="DB35" s="394"/>
      <c r="DC35" s="347"/>
      <c r="DD35" s="394"/>
      <c r="DE35" s="394"/>
      <c r="DF35" s="394"/>
      <c r="DG35" s="394"/>
      <c r="DH35" s="394"/>
    </row>
    <row r="36" spans="1:112" x14ac:dyDescent="0.25">
      <c r="A36" s="179">
        <v>106</v>
      </c>
      <c r="B36" s="181" t="s">
        <v>71</v>
      </c>
      <c r="C36" s="373">
        <v>46470</v>
      </c>
      <c r="D36" s="360">
        <v>19.75</v>
      </c>
      <c r="E36" s="213"/>
      <c r="G36" s="363">
        <v>43761</v>
      </c>
      <c r="H36" s="363">
        <v>295137</v>
      </c>
      <c r="I36" s="349"/>
      <c r="J36" s="363">
        <v>171907</v>
      </c>
      <c r="K36" s="363">
        <v>14104</v>
      </c>
      <c r="L36" s="363">
        <v>13018</v>
      </c>
      <c r="M36" s="363">
        <v>199029</v>
      </c>
      <c r="N36" s="363">
        <v>52983</v>
      </c>
      <c r="O36" s="363">
        <v>62</v>
      </c>
      <c r="P36" s="363">
        <v>1820</v>
      </c>
      <c r="Q36" s="363">
        <v>1125</v>
      </c>
      <c r="R36" s="363">
        <v>94</v>
      </c>
      <c r="S36" s="363">
        <v>-91</v>
      </c>
      <c r="U36" s="363">
        <v>19285</v>
      </c>
      <c r="V36" s="363">
        <v>0</v>
      </c>
      <c r="W36" s="363">
        <v>0</v>
      </c>
      <c r="X36" s="363">
        <v>-19376</v>
      </c>
      <c r="Y36" s="363">
        <v>0</v>
      </c>
      <c r="Z36" s="363">
        <v>0</v>
      </c>
      <c r="AA36" s="363">
        <v>0</v>
      </c>
      <c r="AB36" s="363">
        <v>-19376</v>
      </c>
      <c r="AD36" s="363">
        <v>8494</v>
      </c>
      <c r="AG36" s="363">
        <v>-33919</v>
      </c>
      <c r="AH36" s="349"/>
      <c r="AJ36" s="363">
        <v>51777</v>
      </c>
      <c r="AL36" s="363">
        <v>139547</v>
      </c>
      <c r="AN36" s="349"/>
      <c r="AO36" s="454">
        <v>46576</v>
      </c>
      <c r="AP36" s="478">
        <v>19.75</v>
      </c>
      <c r="AQ36" s="213"/>
      <c r="AS36" s="509">
        <v>41806</v>
      </c>
      <c r="AT36" s="349">
        <v>304225</v>
      </c>
      <c r="AU36" s="480">
        <v>-262419</v>
      </c>
      <c r="AV36" s="199">
        <v>183623</v>
      </c>
      <c r="AW36" s="199">
        <v>14846</v>
      </c>
      <c r="AX36" s="199">
        <v>12519</v>
      </c>
      <c r="AY36" s="199">
        <v>210988</v>
      </c>
      <c r="AZ36" s="199">
        <v>73266</v>
      </c>
      <c r="BA36" s="181">
        <v>58</v>
      </c>
      <c r="BB36" s="511">
        <v>1831</v>
      </c>
      <c r="BC36" s="181">
        <v>1141</v>
      </c>
      <c r="BD36" s="181">
        <v>41</v>
      </c>
      <c r="BE36" s="199">
        <v>21162</v>
      </c>
      <c r="BG36" s="183">
        <v>20445</v>
      </c>
      <c r="BH36" s="183">
        <v>0</v>
      </c>
      <c r="BI36" s="183">
        <v>0</v>
      </c>
      <c r="BJ36" s="199">
        <v>717</v>
      </c>
      <c r="BK36" s="199">
        <v>-10952</v>
      </c>
      <c r="BL36" s="183">
        <v>11000</v>
      </c>
      <c r="BM36" s="183">
        <v>0</v>
      </c>
      <c r="BN36" s="199">
        <v>765</v>
      </c>
      <c r="BP36" s="199">
        <v>9259</v>
      </c>
      <c r="BS36" s="211"/>
      <c r="BV36" s="514">
        <v>46362</v>
      </c>
      <c r="BX36" s="181">
        <v>153614</v>
      </c>
      <c r="BZ36" s="349"/>
      <c r="CB36" s="340"/>
      <c r="CC36" s="488">
        <v>19.75</v>
      </c>
      <c r="CD36" s="378"/>
      <c r="CE36" s="378"/>
      <c r="CF36" s="195"/>
      <c r="CG36" s="349"/>
      <c r="CI36" s="181">
        <v>45178</v>
      </c>
      <c r="CJ36" s="183">
        <v>0</v>
      </c>
      <c r="CK36" s="421">
        <v>64352.005950353065</v>
      </c>
      <c r="CL36" s="494">
        <v>69928.032668189655</v>
      </c>
      <c r="CM36" s="483">
        <v>8629.7713967332129</v>
      </c>
      <c r="CN36" s="483">
        <v>8995.6007578337631</v>
      </c>
      <c r="CO36" s="483">
        <v>9457.5906962573063</v>
      </c>
      <c r="CP36" s="433">
        <f t="shared" si="0"/>
        <v>-11369.005950353065</v>
      </c>
      <c r="CQ36" s="212"/>
      <c r="CR36" s="212">
        <v>2120</v>
      </c>
      <c r="CS36" s="212">
        <v>-36723</v>
      </c>
      <c r="CT36" s="183">
        <v>246</v>
      </c>
      <c r="CU36" s="183">
        <v>2710</v>
      </c>
      <c r="CV36" s="485">
        <v>54</v>
      </c>
      <c r="CX36" s="422"/>
      <c r="CY36" s="475"/>
      <c r="CZ36" s="450"/>
      <c r="DA36" s="394"/>
      <c r="DB36" s="394"/>
      <c r="DC36" s="347"/>
      <c r="DD36" s="394"/>
      <c r="DE36" s="394"/>
      <c r="DF36" s="394"/>
      <c r="DG36" s="394"/>
      <c r="DH36" s="394"/>
    </row>
    <row r="37" spans="1:112" x14ac:dyDescent="0.25">
      <c r="A37" s="179">
        <v>108</v>
      </c>
      <c r="B37" s="181" t="s">
        <v>72</v>
      </c>
      <c r="C37" s="373">
        <v>10404</v>
      </c>
      <c r="D37" s="360">
        <v>22</v>
      </c>
      <c r="E37" s="213"/>
      <c r="G37" s="363">
        <v>12257</v>
      </c>
      <c r="H37" s="363">
        <v>68308</v>
      </c>
      <c r="I37" s="349"/>
      <c r="J37" s="363">
        <v>33825</v>
      </c>
      <c r="K37" s="363">
        <v>1901</v>
      </c>
      <c r="L37" s="363">
        <v>2144</v>
      </c>
      <c r="M37" s="363">
        <v>37870</v>
      </c>
      <c r="N37" s="363">
        <v>21841</v>
      </c>
      <c r="O37" s="363">
        <v>24</v>
      </c>
      <c r="P37" s="363">
        <v>226</v>
      </c>
      <c r="Q37" s="363">
        <v>350</v>
      </c>
      <c r="R37" s="363">
        <v>36</v>
      </c>
      <c r="S37" s="363">
        <v>3772</v>
      </c>
      <c r="U37" s="363">
        <v>5687</v>
      </c>
      <c r="V37" s="363">
        <v>0</v>
      </c>
      <c r="W37" s="363">
        <v>0</v>
      </c>
      <c r="X37" s="363">
        <v>-1915</v>
      </c>
      <c r="Y37" s="363">
        <v>77</v>
      </c>
      <c r="Z37" s="363">
        <v>0</v>
      </c>
      <c r="AA37" s="363">
        <v>0</v>
      </c>
      <c r="AB37" s="363">
        <v>-1838</v>
      </c>
      <c r="AD37" s="363">
        <v>-733</v>
      </c>
      <c r="AG37" s="363">
        <v>-3413</v>
      </c>
      <c r="AH37" s="349"/>
      <c r="AJ37" s="363">
        <v>7855</v>
      </c>
      <c r="AL37" s="363">
        <v>50415</v>
      </c>
      <c r="AN37" s="349"/>
      <c r="AO37" s="454">
        <v>10344</v>
      </c>
      <c r="AP37" s="478">
        <v>22</v>
      </c>
      <c r="AQ37" s="213"/>
      <c r="AS37" s="509">
        <v>12353</v>
      </c>
      <c r="AT37" s="349">
        <v>69742</v>
      </c>
      <c r="AU37" s="480">
        <v>-57389</v>
      </c>
      <c r="AV37" s="199">
        <v>35286</v>
      </c>
      <c r="AW37" s="199">
        <v>1779</v>
      </c>
      <c r="AX37" s="199">
        <v>1947</v>
      </c>
      <c r="AY37" s="199">
        <v>39012</v>
      </c>
      <c r="AZ37" s="199">
        <v>25531</v>
      </c>
      <c r="BA37" s="181">
        <v>12</v>
      </c>
      <c r="BB37" s="511">
        <v>264</v>
      </c>
      <c r="BC37" s="181">
        <v>322</v>
      </c>
      <c r="BD37" s="181">
        <v>27</v>
      </c>
      <c r="BE37" s="199">
        <v>7197</v>
      </c>
      <c r="BG37" s="183">
        <v>5319</v>
      </c>
      <c r="BH37" s="199">
        <v>0</v>
      </c>
      <c r="BI37" s="183">
        <v>0</v>
      </c>
      <c r="BJ37" s="199">
        <v>1878</v>
      </c>
      <c r="BK37" s="199">
        <v>77</v>
      </c>
      <c r="BL37" s="183">
        <v>0</v>
      </c>
      <c r="BM37" s="183">
        <v>0</v>
      </c>
      <c r="BN37" s="199">
        <v>1955</v>
      </c>
      <c r="BP37" s="199">
        <v>1222</v>
      </c>
      <c r="BS37" s="211"/>
      <c r="BV37" s="514">
        <v>10861</v>
      </c>
      <c r="BX37" s="181">
        <v>47748</v>
      </c>
      <c r="BZ37" s="349"/>
      <c r="CB37" s="340"/>
      <c r="CC37" s="488">
        <v>22</v>
      </c>
      <c r="CD37" s="378"/>
      <c r="CE37" s="378"/>
      <c r="CF37" s="195"/>
      <c r="CG37" s="349"/>
      <c r="CI37" s="181">
        <v>18952</v>
      </c>
      <c r="CJ37" s="183">
        <v>0</v>
      </c>
      <c r="CK37" s="421">
        <v>23586.041232364107</v>
      </c>
      <c r="CL37" s="494">
        <v>24555.043297292374</v>
      </c>
      <c r="CM37" s="483">
        <v>9019.1749743271139</v>
      </c>
      <c r="CN37" s="483">
        <v>8737.9848042705598</v>
      </c>
      <c r="CO37" s="483">
        <v>8339.7392837046282</v>
      </c>
      <c r="CP37" s="433">
        <f t="shared" si="0"/>
        <v>-1745.0412323641067</v>
      </c>
      <c r="CQ37" s="212"/>
      <c r="CR37" s="212">
        <v>-89</v>
      </c>
      <c r="CS37" s="212">
        <v>-2634</v>
      </c>
      <c r="CT37" s="183">
        <v>261</v>
      </c>
      <c r="CU37" s="183">
        <v>146</v>
      </c>
      <c r="CV37" s="485">
        <v>32</v>
      </c>
      <c r="CX37" s="422"/>
      <c r="CY37" s="475"/>
      <c r="CZ37" s="450"/>
      <c r="DA37" s="394"/>
      <c r="DB37" s="394"/>
      <c r="DC37" s="347"/>
      <c r="DD37" s="394"/>
      <c r="DE37" s="394"/>
      <c r="DF37" s="394"/>
      <c r="DG37" s="394"/>
      <c r="DH37" s="394"/>
    </row>
    <row r="38" spans="1:112" x14ac:dyDescent="0.25">
      <c r="A38" s="179">
        <v>109</v>
      </c>
      <c r="B38" s="181" t="s">
        <v>73</v>
      </c>
      <c r="C38" s="373">
        <v>67633</v>
      </c>
      <c r="D38" s="360">
        <v>20.75</v>
      </c>
      <c r="E38" s="213"/>
      <c r="G38" s="363">
        <v>95214</v>
      </c>
      <c r="H38" s="363">
        <v>465332</v>
      </c>
      <c r="I38" s="349"/>
      <c r="J38" s="363">
        <v>239750</v>
      </c>
      <c r="K38" s="363">
        <v>15997</v>
      </c>
      <c r="L38" s="363">
        <v>27677</v>
      </c>
      <c r="M38" s="363">
        <v>283424</v>
      </c>
      <c r="N38" s="363">
        <v>90981</v>
      </c>
      <c r="O38" s="363">
        <v>2214</v>
      </c>
      <c r="P38" s="363">
        <v>5822</v>
      </c>
      <c r="Q38" s="363">
        <v>6202</v>
      </c>
      <c r="R38" s="363">
        <v>129</v>
      </c>
      <c r="S38" s="363">
        <v>6752</v>
      </c>
      <c r="U38" s="363">
        <v>18370</v>
      </c>
      <c r="V38" s="363">
        <v>0</v>
      </c>
      <c r="W38" s="363">
        <v>0</v>
      </c>
      <c r="X38" s="363">
        <v>-11618</v>
      </c>
      <c r="Y38" s="363">
        <v>98</v>
      </c>
      <c r="Z38" s="363">
        <v>45</v>
      </c>
      <c r="AA38" s="363">
        <v>0</v>
      </c>
      <c r="AB38" s="363">
        <v>-11475</v>
      </c>
      <c r="AD38" s="363">
        <v>-13709</v>
      </c>
      <c r="AG38" s="363">
        <v>-29310</v>
      </c>
      <c r="AH38" s="349"/>
      <c r="AJ38" s="363">
        <v>114362</v>
      </c>
      <c r="AL38" s="363">
        <v>271609</v>
      </c>
      <c r="AN38" s="349"/>
      <c r="AO38" s="454">
        <v>67848</v>
      </c>
      <c r="AP38" s="478">
        <v>21</v>
      </c>
      <c r="AQ38" s="213"/>
      <c r="AS38" s="509">
        <v>90314</v>
      </c>
      <c r="AT38" s="349">
        <v>477071</v>
      </c>
      <c r="AU38" s="480">
        <v>-386757</v>
      </c>
      <c r="AV38" s="199">
        <v>255175</v>
      </c>
      <c r="AW38" s="199">
        <v>18457</v>
      </c>
      <c r="AX38" s="199">
        <v>25347</v>
      </c>
      <c r="AY38" s="199">
        <v>298979</v>
      </c>
      <c r="AZ38" s="199">
        <v>122902</v>
      </c>
      <c r="BA38" s="181">
        <v>1979</v>
      </c>
      <c r="BB38" s="511">
        <v>5993</v>
      </c>
      <c r="BC38" s="181">
        <v>3095</v>
      </c>
      <c r="BD38" s="181">
        <v>1081</v>
      </c>
      <c r="BE38" s="199">
        <v>33124</v>
      </c>
      <c r="BG38" s="183">
        <v>21931</v>
      </c>
      <c r="BH38" s="183">
        <v>0</v>
      </c>
      <c r="BI38" s="199">
        <v>0</v>
      </c>
      <c r="BJ38" s="199">
        <v>11193</v>
      </c>
      <c r="BK38" s="199">
        <v>18</v>
      </c>
      <c r="BL38" s="199">
        <v>-73</v>
      </c>
      <c r="BM38" s="199">
        <v>2764</v>
      </c>
      <c r="BN38" s="199">
        <v>13902</v>
      </c>
      <c r="BP38" s="199">
        <v>195</v>
      </c>
      <c r="BS38" s="211"/>
      <c r="BV38" s="514">
        <v>155239</v>
      </c>
      <c r="BX38" s="181">
        <v>301795</v>
      </c>
      <c r="BZ38" s="349"/>
      <c r="CB38" s="340"/>
      <c r="CC38" s="488">
        <v>21</v>
      </c>
      <c r="CD38" s="378"/>
      <c r="CE38" s="378"/>
      <c r="CF38" s="195"/>
      <c r="CG38" s="349"/>
      <c r="CI38" s="181">
        <v>87257</v>
      </c>
      <c r="CJ38" s="183">
        <v>0</v>
      </c>
      <c r="CK38" s="421">
        <v>109786.90452620882</v>
      </c>
      <c r="CL38" s="494">
        <v>117579.63037504016</v>
      </c>
      <c r="CM38" s="483">
        <v>13818.908448346849</v>
      </c>
      <c r="CN38" s="483">
        <v>11130.030715630406</v>
      </c>
      <c r="CO38" s="483">
        <v>9391.1645738664538</v>
      </c>
      <c r="CP38" s="433">
        <f t="shared" si="0"/>
        <v>-18805.904526208818</v>
      </c>
      <c r="CQ38" s="212"/>
      <c r="CR38" s="212">
        <v>-1049</v>
      </c>
      <c r="CS38" s="212">
        <v>-32863</v>
      </c>
      <c r="CT38" s="183">
        <v>284</v>
      </c>
      <c r="CU38" s="183">
        <v>4507</v>
      </c>
      <c r="CV38" s="485">
        <v>797</v>
      </c>
      <c r="CX38" s="422"/>
      <c r="CY38" s="475"/>
      <c r="CZ38" s="450"/>
      <c r="DA38" s="394"/>
      <c r="DB38" s="394"/>
      <c r="DC38" s="347"/>
      <c r="DD38" s="394"/>
      <c r="DE38" s="394"/>
      <c r="DF38" s="394"/>
      <c r="DG38" s="394"/>
      <c r="DH38" s="394"/>
    </row>
    <row r="39" spans="1:112" x14ac:dyDescent="0.25">
      <c r="A39" s="179">
        <v>139</v>
      </c>
      <c r="B39" s="181" t="s">
        <v>74</v>
      </c>
      <c r="C39" s="373">
        <v>9844</v>
      </c>
      <c r="D39" s="360">
        <v>21.25</v>
      </c>
      <c r="E39" s="213"/>
      <c r="G39" s="363">
        <v>8597</v>
      </c>
      <c r="H39" s="363">
        <v>69652</v>
      </c>
      <c r="I39" s="349"/>
      <c r="J39" s="363">
        <v>28154</v>
      </c>
      <c r="K39" s="363">
        <v>1453</v>
      </c>
      <c r="L39" s="363">
        <v>4279</v>
      </c>
      <c r="M39" s="363">
        <v>33886</v>
      </c>
      <c r="N39" s="363">
        <v>27652</v>
      </c>
      <c r="O39" s="363">
        <v>33</v>
      </c>
      <c r="P39" s="363">
        <v>308</v>
      </c>
      <c r="Q39" s="363">
        <v>91</v>
      </c>
      <c r="R39" s="363">
        <v>8</v>
      </c>
      <c r="S39" s="363">
        <v>291</v>
      </c>
      <c r="U39" s="363">
        <v>3362</v>
      </c>
      <c r="V39" s="363">
        <v>0</v>
      </c>
      <c r="W39" s="363">
        <v>0</v>
      </c>
      <c r="X39" s="363">
        <v>-3071</v>
      </c>
      <c r="Y39" s="363">
        <v>-618</v>
      </c>
      <c r="Z39" s="363">
        <v>700</v>
      </c>
      <c r="AA39" s="363">
        <v>0</v>
      </c>
      <c r="AB39" s="363">
        <v>-2989</v>
      </c>
      <c r="AD39" s="363">
        <v>1701</v>
      </c>
      <c r="AG39" s="363">
        <v>-7252</v>
      </c>
      <c r="AH39" s="349"/>
      <c r="AJ39" s="363">
        <v>2601</v>
      </c>
      <c r="AL39" s="363">
        <v>44564</v>
      </c>
      <c r="AN39" s="349"/>
      <c r="AO39" s="454">
        <v>9848</v>
      </c>
      <c r="AP39" s="478">
        <v>21.25</v>
      </c>
      <c r="AQ39" s="213"/>
      <c r="AS39" s="509">
        <v>8079</v>
      </c>
      <c r="AT39" s="349">
        <v>70952</v>
      </c>
      <c r="AU39" s="480">
        <v>-62873</v>
      </c>
      <c r="AV39" s="199">
        <v>28922</v>
      </c>
      <c r="AW39" s="199">
        <v>1521</v>
      </c>
      <c r="AX39" s="199">
        <v>3996</v>
      </c>
      <c r="AY39" s="199">
        <v>34439</v>
      </c>
      <c r="AZ39" s="199">
        <v>33759</v>
      </c>
      <c r="BA39" s="181">
        <v>9</v>
      </c>
      <c r="BB39" s="511">
        <v>309</v>
      </c>
      <c r="BC39" s="181">
        <v>53</v>
      </c>
      <c r="BD39" s="181">
        <v>0</v>
      </c>
      <c r="BE39" s="199">
        <v>5078</v>
      </c>
      <c r="BG39" s="183">
        <v>4039</v>
      </c>
      <c r="BH39" s="183">
        <v>0</v>
      </c>
      <c r="BI39" s="183">
        <v>0</v>
      </c>
      <c r="BJ39" s="199">
        <v>1039</v>
      </c>
      <c r="BK39" s="183">
        <v>84</v>
      </c>
      <c r="BL39" s="183">
        <v>0</v>
      </c>
      <c r="BM39" s="183">
        <v>0</v>
      </c>
      <c r="BN39" s="199">
        <v>1123</v>
      </c>
      <c r="BP39" s="199">
        <v>2824</v>
      </c>
      <c r="BS39" s="211"/>
      <c r="BV39" s="514">
        <v>8225</v>
      </c>
      <c r="BX39" s="181">
        <v>48243</v>
      </c>
      <c r="BZ39" s="349"/>
      <c r="CB39" s="340"/>
      <c r="CC39" s="488">
        <v>21.25</v>
      </c>
      <c r="CD39" s="378"/>
      <c r="CE39" s="378"/>
      <c r="CF39" s="195"/>
      <c r="CG39" s="349"/>
      <c r="CI39" s="181">
        <v>23088</v>
      </c>
      <c r="CJ39" s="183">
        <v>0</v>
      </c>
      <c r="CK39" s="421">
        <v>30354.403427049634</v>
      </c>
      <c r="CL39" s="494">
        <v>32125.261298849775</v>
      </c>
      <c r="CM39" s="483">
        <v>13906.263424251969</v>
      </c>
      <c r="CN39" s="483">
        <v>13430.904202937352</v>
      </c>
      <c r="CO39" s="483">
        <v>13112.189473766597</v>
      </c>
      <c r="CP39" s="433">
        <f t="shared" si="0"/>
        <v>-2702.403427049634</v>
      </c>
      <c r="CQ39" s="212"/>
      <c r="CR39" s="212">
        <v>-60</v>
      </c>
      <c r="CS39" s="212">
        <v>-4805</v>
      </c>
      <c r="CT39" s="183">
        <v>50</v>
      </c>
      <c r="CU39" s="183">
        <v>57</v>
      </c>
      <c r="CV39" s="485">
        <v>0</v>
      </c>
      <c r="CX39" s="422"/>
      <c r="CY39" s="475"/>
      <c r="CZ39" s="450"/>
      <c r="DA39" s="394"/>
      <c r="DB39" s="394"/>
      <c r="DC39" s="347"/>
      <c r="DD39" s="394"/>
      <c r="DE39" s="394"/>
      <c r="DF39" s="394"/>
      <c r="DG39" s="394"/>
      <c r="DH39" s="394"/>
    </row>
    <row r="40" spans="1:112" x14ac:dyDescent="0.25">
      <c r="A40" s="179">
        <v>140</v>
      </c>
      <c r="B40" s="181" t="s">
        <v>75</v>
      </c>
      <c r="C40" s="373">
        <v>21368</v>
      </c>
      <c r="D40" s="360">
        <v>20.5</v>
      </c>
      <c r="E40" s="213"/>
      <c r="G40" s="363">
        <v>28723</v>
      </c>
      <c r="H40" s="363">
        <v>153787</v>
      </c>
      <c r="I40" s="349"/>
      <c r="J40" s="363">
        <v>65351</v>
      </c>
      <c r="K40" s="363">
        <v>5852</v>
      </c>
      <c r="L40" s="363">
        <v>5873</v>
      </c>
      <c r="M40" s="363">
        <v>77076</v>
      </c>
      <c r="N40" s="363">
        <v>54428</v>
      </c>
      <c r="O40" s="363">
        <v>27</v>
      </c>
      <c r="P40" s="363">
        <v>334</v>
      </c>
      <c r="Q40" s="363">
        <v>1943</v>
      </c>
      <c r="R40" s="363">
        <v>177</v>
      </c>
      <c r="S40" s="363">
        <v>7899</v>
      </c>
      <c r="U40" s="363">
        <v>7372</v>
      </c>
      <c r="V40" s="363">
        <v>0</v>
      </c>
      <c r="W40" s="363">
        <v>0</v>
      </c>
      <c r="X40" s="363">
        <v>527</v>
      </c>
      <c r="Y40" s="363">
        <v>-281</v>
      </c>
      <c r="Z40" s="363">
        <v>0</v>
      </c>
      <c r="AA40" s="363">
        <v>764</v>
      </c>
      <c r="AB40" s="363">
        <v>1010</v>
      </c>
      <c r="AD40" s="363">
        <v>12166</v>
      </c>
      <c r="AG40" s="363">
        <v>-10680</v>
      </c>
      <c r="AH40" s="349"/>
      <c r="AJ40" s="363">
        <v>22104</v>
      </c>
      <c r="AL40" s="363">
        <v>55346</v>
      </c>
      <c r="AN40" s="349"/>
      <c r="AO40" s="454">
        <v>21124</v>
      </c>
      <c r="AP40" s="478">
        <v>20.5</v>
      </c>
      <c r="AQ40" s="213"/>
      <c r="AS40" s="509">
        <v>28373</v>
      </c>
      <c r="AT40" s="349">
        <v>155530</v>
      </c>
      <c r="AU40" s="480">
        <v>-127157</v>
      </c>
      <c r="AV40" s="199">
        <v>66202</v>
      </c>
      <c r="AW40" s="199">
        <v>5504</v>
      </c>
      <c r="AX40" s="199">
        <v>5321</v>
      </c>
      <c r="AY40" s="199">
        <v>77027</v>
      </c>
      <c r="AZ40" s="199">
        <v>62862</v>
      </c>
      <c r="BA40" s="181">
        <v>46</v>
      </c>
      <c r="BB40" s="511">
        <v>312</v>
      </c>
      <c r="BC40" s="181">
        <v>1322</v>
      </c>
      <c r="BD40" s="181">
        <v>124</v>
      </c>
      <c r="BE40" s="199">
        <v>13664</v>
      </c>
      <c r="BG40" s="183">
        <v>8722</v>
      </c>
      <c r="BH40" s="183">
        <v>0</v>
      </c>
      <c r="BI40" s="183">
        <v>0</v>
      </c>
      <c r="BJ40" s="199">
        <v>4942</v>
      </c>
      <c r="BK40" s="199">
        <v>-439</v>
      </c>
      <c r="BL40" s="183">
        <v>0</v>
      </c>
      <c r="BM40" s="199">
        <v>-1740</v>
      </c>
      <c r="BN40" s="199">
        <v>2763</v>
      </c>
      <c r="BP40" s="199">
        <v>14929</v>
      </c>
      <c r="BS40" s="211"/>
      <c r="BV40" s="514">
        <v>28779</v>
      </c>
      <c r="BX40" s="181">
        <v>61342</v>
      </c>
      <c r="BZ40" s="349"/>
      <c r="CB40" s="340"/>
      <c r="CC40" s="488">
        <v>20.5</v>
      </c>
      <c r="CD40" s="378"/>
      <c r="CE40" s="378"/>
      <c r="CF40" s="195"/>
      <c r="CG40" s="349"/>
      <c r="CI40" s="181">
        <v>39248</v>
      </c>
      <c r="CJ40" s="183">
        <v>0</v>
      </c>
      <c r="CK40" s="421">
        <v>61491.738494944046</v>
      </c>
      <c r="CL40" s="494">
        <v>64621.649872366514</v>
      </c>
      <c r="CM40" s="483">
        <v>20586.976847438193</v>
      </c>
      <c r="CN40" s="483">
        <v>20249.46261688308</v>
      </c>
      <c r="CO40" s="483">
        <v>19436.253424287766</v>
      </c>
      <c r="CP40" s="433">
        <f t="shared" si="0"/>
        <v>-7063.7384949440457</v>
      </c>
      <c r="CQ40" s="212"/>
      <c r="CR40" s="212">
        <v>-235</v>
      </c>
      <c r="CS40" s="212">
        <v>-11823</v>
      </c>
      <c r="CT40" s="183">
        <v>259</v>
      </c>
      <c r="CU40" s="183">
        <v>489</v>
      </c>
      <c r="CV40" s="485">
        <v>71</v>
      </c>
      <c r="CX40" s="422"/>
      <c r="CY40" s="475"/>
      <c r="CZ40" s="450"/>
      <c r="DA40" s="394"/>
      <c r="DB40" s="394"/>
      <c r="DC40" s="347"/>
      <c r="DD40" s="394"/>
      <c r="DE40" s="394"/>
      <c r="DF40" s="394"/>
      <c r="DG40" s="394"/>
      <c r="DH40" s="394"/>
    </row>
    <row r="41" spans="1:112" x14ac:dyDescent="0.25">
      <c r="A41" s="179">
        <v>142</v>
      </c>
      <c r="B41" s="181" t="s">
        <v>76</v>
      </c>
      <c r="C41" s="373">
        <v>6711</v>
      </c>
      <c r="D41" s="360">
        <v>20.75</v>
      </c>
      <c r="E41" s="213"/>
      <c r="G41" s="363">
        <v>3514</v>
      </c>
      <c r="H41" s="363">
        <v>44515</v>
      </c>
      <c r="I41" s="349"/>
      <c r="J41" s="363">
        <v>19979</v>
      </c>
      <c r="K41" s="363">
        <v>1389</v>
      </c>
      <c r="L41" s="363">
        <v>2943</v>
      </c>
      <c r="M41" s="363">
        <v>24311</v>
      </c>
      <c r="N41" s="363">
        <v>15231</v>
      </c>
      <c r="O41" s="363">
        <v>4</v>
      </c>
      <c r="P41" s="363">
        <v>55</v>
      </c>
      <c r="Q41" s="363">
        <v>144</v>
      </c>
      <c r="R41" s="363">
        <v>9</v>
      </c>
      <c r="S41" s="363">
        <v>-1375</v>
      </c>
      <c r="U41" s="363">
        <v>1689</v>
      </c>
      <c r="V41" s="363">
        <v>0</v>
      </c>
      <c r="W41" s="363">
        <v>0</v>
      </c>
      <c r="X41" s="363">
        <v>-3064</v>
      </c>
      <c r="Y41" s="363">
        <v>70</v>
      </c>
      <c r="Z41" s="363">
        <v>0</v>
      </c>
      <c r="AA41" s="363">
        <v>0</v>
      </c>
      <c r="AB41" s="363">
        <v>-2994</v>
      </c>
      <c r="AD41" s="363">
        <v>-2169</v>
      </c>
      <c r="AG41" s="363">
        <v>-973</v>
      </c>
      <c r="AH41" s="349"/>
      <c r="AJ41" s="363">
        <v>4996</v>
      </c>
      <c r="AL41" s="363">
        <v>9894</v>
      </c>
      <c r="AN41" s="349"/>
      <c r="AO41" s="454">
        <v>6625</v>
      </c>
      <c r="AP41" s="478">
        <v>21.25</v>
      </c>
      <c r="AQ41" s="213"/>
      <c r="AS41" s="509">
        <v>3076</v>
      </c>
      <c r="AT41" s="349">
        <v>41613</v>
      </c>
      <c r="AU41" s="480">
        <v>-38537</v>
      </c>
      <c r="AV41" s="199">
        <v>21217</v>
      </c>
      <c r="AW41" s="199">
        <v>1433</v>
      </c>
      <c r="AX41" s="199">
        <v>2733</v>
      </c>
      <c r="AY41" s="199">
        <v>25383</v>
      </c>
      <c r="AZ41" s="199">
        <v>19607</v>
      </c>
      <c r="BA41" s="181">
        <v>3</v>
      </c>
      <c r="BB41" s="511">
        <v>45</v>
      </c>
      <c r="BC41" s="181">
        <v>230</v>
      </c>
      <c r="BD41" s="181">
        <v>328</v>
      </c>
      <c r="BE41" s="199">
        <v>6313</v>
      </c>
      <c r="BG41" s="183">
        <v>1616</v>
      </c>
      <c r="BH41" s="183">
        <v>0</v>
      </c>
      <c r="BI41" s="183">
        <v>0</v>
      </c>
      <c r="BJ41" s="199">
        <v>4697</v>
      </c>
      <c r="BK41" s="199">
        <v>70</v>
      </c>
      <c r="BL41" s="183">
        <v>0</v>
      </c>
      <c r="BM41" s="183">
        <v>0</v>
      </c>
      <c r="BN41" s="199">
        <v>4767</v>
      </c>
      <c r="BP41" s="199">
        <v>2598</v>
      </c>
      <c r="BS41" s="211"/>
      <c r="BV41" s="514">
        <v>2823</v>
      </c>
      <c r="BX41" s="181">
        <v>8341</v>
      </c>
      <c r="BZ41" s="349"/>
      <c r="CB41" s="340"/>
      <c r="CC41" s="488">
        <v>21.25</v>
      </c>
      <c r="CD41" s="378"/>
      <c r="CE41" s="378"/>
      <c r="CF41" s="195"/>
      <c r="CG41" s="349"/>
      <c r="CI41" s="181">
        <v>13157</v>
      </c>
      <c r="CJ41" s="183">
        <v>0</v>
      </c>
      <c r="CK41" s="421">
        <v>17814.29580624403</v>
      </c>
      <c r="CL41" s="494">
        <v>18418.033184050295</v>
      </c>
      <c r="CM41" s="483">
        <v>3977.4068233822672</v>
      </c>
      <c r="CN41" s="483">
        <v>3787.5351300694974</v>
      </c>
      <c r="CO41" s="483">
        <v>3567.8175633689725</v>
      </c>
      <c r="CP41" s="433">
        <f t="shared" si="0"/>
        <v>-2583.2958062440302</v>
      </c>
      <c r="CQ41" s="212"/>
      <c r="CR41" s="212">
        <v>-22</v>
      </c>
      <c r="CS41" s="212">
        <v>-1221</v>
      </c>
      <c r="CT41" s="183">
        <v>108</v>
      </c>
      <c r="CU41" s="183">
        <v>36</v>
      </c>
      <c r="CV41" s="485">
        <v>0</v>
      </c>
      <c r="CX41" s="422"/>
      <c r="CY41" s="475"/>
      <c r="CZ41" s="450"/>
      <c r="DA41" s="394"/>
      <c r="DB41" s="394"/>
      <c r="DC41" s="347"/>
      <c r="DD41" s="394"/>
      <c r="DE41" s="394"/>
      <c r="DF41" s="394"/>
      <c r="DG41" s="394"/>
      <c r="DH41" s="394"/>
    </row>
    <row r="42" spans="1:112" x14ac:dyDescent="0.25">
      <c r="A42" s="179">
        <v>143</v>
      </c>
      <c r="B42" s="181" t="s">
        <v>77</v>
      </c>
      <c r="C42" s="373">
        <v>6942</v>
      </c>
      <c r="D42" s="360">
        <v>21.75</v>
      </c>
      <c r="E42" s="213"/>
      <c r="G42" s="363">
        <v>7275</v>
      </c>
      <c r="H42" s="363">
        <v>49603</v>
      </c>
      <c r="I42" s="349"/>
      <c r="J42" s="363">
        <v>19957</v>
      </c>
      <c r="K42" s="363">
        <v>1770</v>
      </c>
      <c r="L42" s="363">
        <v>2759</v>
      </c>
      <c r="M42" s="363">
        <v>24486</v>
      </c>
      <c r="N42" s="363">
        <v>17675</v>
      </c>
      <c r="O42" s="363">
        <v>29</v>
      </c>
      <c r="P42" s="363">
        <v>186</v>
      </c>
      <c r="Q42" s="363">
        <v>248</v>
      </c>
      <c r="R42" s="363">
        <v>9</v>
      </c>
      <c r="S42" s="363">
        <v>-85</v>
      </c>
      <c r="U42" s="363">
        <v>2185</v>
      </c>
      <c r="V42" s="363">
        <v>0</v>
      </c>
      <c r="W42" s="363">
        <v>0</v>
      </c>
      <c r="X42" s="363">
        <v>-2270</v>
      </c>
      <c r="Y42" s="363">
        <v>2</v>
      </c>
      <c r="Z42" s="363">
        <v>0</v>
      </c>
      <c r="AA42" s="363">
        <v>0</v>
      </c>
      <c r="AB42" s="363">
        <v>-2268</v>
      </c>
      <c r="AD42" s="363">
        <v>-3610</v>
      </c>
      <c r="AG42" s="363">
        <v>-1314</v>
      </c>
      <c r="AH42" s="349"/>
      <c r="AJ42" s="363">
        <v>945</v>
      </c>
      <c r="AL42" s="363">
        <v>29714</v>
      </c>
      <c r="AN42" s="349"/>
      <c r="AO42" s="454">
        <v>6866</v>
      </c>
      <c r="AP42" s="478">
        <v>22</v>
      </c>
      <c r="AQ42" s="213"/>
      <c r="AS42" s="509">
        <v>7091</v>
      </c>
      <c r="AT42" s="349">
        <v>48036</v>
      </c>
      <c r="AU42" s="480">
        <v>-40945</v>
      </c>
      <c r="AV42" s="199">
        <v>21116</v>
      </c>
      <c r="AW42" s="199">
        <v>1945</v>
      </c>
      <c r="AX42" s="199">
        <v>2644</v>
      </c>
      <c r="AY42" s="199">
        <v>25705</v>
      </c>
      <c r="AZ42" s="199">
        <v>20996</v>
      </c>
      <c r="BA42" s="181">
        <v>28</v>
      </c>
      <c r="BB42" s="511">
        <v>148</v>
      </c>
      <c r="BC42" s="181">
        <v>280</v>
      </c>
      <c r="BD42" s="181">
        <v>12</v>
      </c>
      <c r="BE42" s="199">
        <v>5904</v>
      </c>
      <c r="BG42" s="183">
        <v>2529</v>
      </c>
      <c r="BH42" s="183">
        <v>0</v>
      </c>
      <c r="BI42" s="183">
        <v>0</v>
      </c>
      <c r="BJ42" s="199">
        <v>3375</v>
      </c>
      <c r="BK42" s="199">
        <v>2</v>
      </c>
      <c r="BL42" s="183">
        <v>0</v>
      </c>
      <c r="BM42" s="183">
        <v>0</v>
      </c>
      <c r="BN42" s="199">
        <v>3377</v>
      </c>
      <c r="BP42" s="199">
        <v>-521</v>
      </c>
      <c r="BS42" s="211"/>
      <c r="BV42" s="514">
        <v>1027</v>
      </c>
      <c r="BX42" s="181">
        <v>24157</v>
      </c>
      <c r="BZ42" s="349"/>
      <c r="CB42" s="340"/>
      <c r="CC42" s="488">
        <v>22</v>
      </c>
      <c r="CD42" s="378"/>
      <c r="CE42" s="378"/>
      <c r="CF42" s="195"/>
      <c r="CG42" s="349"/>
      <c r="CI42" s="181">
        <v>14955</v>
      </c>
      <c r="CJ42" s="183">
        <v>0</v>
      </c>
      <c r="CK42" s="421">
        <v>19168.944704097536</v>
      </c>
      <c r="CL42" s="494">
        <v>20272.180716338593</v>
      </c>
      <c r="CM42" s="483">
        <v>4418.3085539099793</v>
      </c>
      <c r="CN42" s="483">
        <v>4133.6250018802511</v>
      </c>
      <c r="CO42" s="483">
        <v>4130.9297319281632</v>
      </c>
      <c r="CP42" s="433">
        <f t="shared" si="0"/>
        <v>-1493.9447040975356</v>
      </c>
      <c r="CQ42" s="212"/>
      <c r="CR42" s="212">
        <v>-148</v>
      </c>
      <c r="CS42" s="212">
        <v>-1344</v>
      </c>
      <c r="CT42" s="183">
        <v>143</v>
      </c>
      <c r="CU42" s="183">
        <v>164</v>
      </c>
      <c r="CV42" s="485">
        <v>0</v>
      </c>
      <c r="CX42" s="422"/>
      <c r="CY42" s="475"/>
      <c r="CZ42" s="450"/>
      <c r="DA42" s="394"/>
      <c r="DB42" s="394"/>
      <c r="DC42" s="347"/>
      <c r="DD42" s="394"/>
      <c r="DE42" s="394"/>
      <c r="DF42" s="394"/>
      <c r="DG42" s="394"/>
      <c r="DH42" s="394"/>
    </row>
    <row r="43" spans="1:112" x14ac:dyDescent="0.25">
      <c r="A43" s="179">
        <v>145</v>
      </c>
      <c r="B43" s="181" t="s">
        <v>78</v>
      </c>
      <c r="C43" s="373">
        <v>12269</v>
      </c>
      <c r="D43" s="360">
        <v>20.75</v>
      </c>
      <c r="E43" s="213"/>
      <c r="G43" s="363">
        <v>10037</v>
      </c>
      <c r="H43" s="363">
        <v>80786</v>
      </c>
      <c r="I43" s="349"/>
      <c r="J43" s="363">
        <v>36607</v>
      </c>
      <c r="K43" s="363">
        <v>1626</v>
      </c>
      <c r="L43" s="363">
        <v>2671</v>
      </c>
      <c r="M43" s="363">
        <v>40904</v>
      </c>
      <c r="N43" s="363">
        <v>29288</v>
      </c>
      <c r="O43" s="363">
        <v>18</v>
      </c>
      <c r="P43" s="363">
        <v>353</v>
      </c>
      <c r="Q43" s="363">
        <v>163</v>
      </c>
      <c r="R43" s="363">
        <v>8</v>
      </c>
      <c r="S43" s="363">
        <v>-737</v>
      </c>
      <c r="U43" s="363">
        <v>3135</v>
      </c>
      <c r="V43" s="363">
        <v>0</v>
      </c>
      <c r="W43" s="363">
        <v>0</v>
      </c>
      <c r="X43" s="363">
        <v>-3872</v>
      </c>
      <c r="Y43" s="363">
        <v>0</v>
      </c>
      <c r="Z43" s="363">
        <v>0</v>
      </c>
      <c r="AA43" s="363">
        <v>0</v>
      </c>
      <c r="AB43" s="363">
        <v>-3872</v>
      </c>
      <c r="AD43" s="363">
        <v>5062</v>
      </c>
      <c r="AG43" s="363">
        <v>-3864</v>
      </c>
      <c r="AH43" s="349"/>
      <c r="AJ43" s="363">
        <v>1176</v>
      </c>
      <c r="AL43" s="363">
        <v>48459</v>
      </c>
      <c r="AN43" s="349"/>
      <c r="AO43" s="454">
        <v>12294</v>
      </c>
      <c r="AP43" s="478">
        <v>21</v>
      </c>
      <c r="AQ43" s="213"/>
      <c r="AS43" s="509">
        <v>9395</v>
      </c>
      <c r="AT43" s="349">
        <v>81860</v>
      </c>
      <c r="AU43" s="480">
        <v>-72465</v>
      </c>
      <c r="AV43" s="199">
        <v>39060</v>
      </c>
      <c r="AW43" s="199">
        <v>1764</v>
      </c>
      <c r="AX43" s="199">
        <v>2440</v>
      </c>
      <c r="AY43" s="199">
        <v>43264</v>
      </c>
      <c r="AZ43" s="199">
        <v>34908</v>
      </c>
      <c r="BA43" s="181">
        <v>18</v>
      </c>
      <c r="BB43" s="511">
        <v>344</v>
      </c>
      <c r="BC43" s="181">
        <v>136</v>
      </c>
      <c r="BD43" s="181">
        <v>8</v>
      </c>
      <c r="BE43" s="199">
        <v>5509</v>
      </c>
      <c r="BG43" s="183">
        <v>3209</v>
      </c>
      <c r="BH43" s="199">
        <v>0</v>
      </c>
      <c r="BI43" s="199">
        <v>0</v>
      </c>
      <c r="BJ43" s="199">
        <v>2300</v>
      </c>
      <c r="BK43" s="183">
        <v>0</v>
      </c>
      <c r="BL43" s="183">
        <v>0</v>
      </c>
      <c r="BM43" s="183">
        <v>0</v>
      </c>
      <c r="BN43" s="199">
        <v>2300</v>
      </c>
      <c r="BP43" s="199">
        <v>5854</v>
      </c>
      <c r="BS43" s="211"/>
      <c r="BV43" s="514">
        <v>3579</v>
      </c>
      <c r="BX43" s="181">
        <v>55720</v>
      </c>
      <c r="BZ43" s="349"/>
      <c r="CB43" s="340"/>
      <c r="CC43" s="488">
        <v>21</v>
      </c>
      <c r="CD43" s="378"/>
      <c r="CE43" s="378"/>
      <c r="CF43" s="195"/>
      <c r="CG43" s="349"/>
      <c r="CI43" s="181">
        <v>23277</v>
      </c>
      <c r="CJ43" s="183">
        <v>0</v>
      </c>
      <c r="CK43" s="421">
        <v>32932.258915027822</v>
      </c>
      <c r="CL43" s="494">
        <v>34916.827432571241</v>
      </c>
      <c r="CM43" s="483">
        <v>15289.369317774335</v>
      </c>
      <c r="CN43" s="483">
        <v>14942.086076231179</v>
      </c>
      <c r="CO43" s="483">
        <v>15056.231728305489</v>
      </c>
      <c r="CP43" s="433">
        <f t="shared" si="0"/>
        <v>-3644.2589150278218</v>
      </c>
      <c r="CQ43" s="212"/>
      <c r="CR43" s="212">
        <v>-1741</v>
      </c>
      <c r="CS43" s="212">
        <v>-10801</v>
      </c>
      <c r="CT43" s="183">
        <v>43</v>
      </c>
      <c r="CU43" s="183">
        <v>714</v>
      </c>
      <c r="CV43" s="485">
        <v>194</v>
      </c>
      <c r="CX43" s="422"/>
      <c r="CY43" s="475"/>
      <c r="CZ43" s="450"/>
      <c r="DA43" s="394"/>
      <c r="DB43" s="394"/>
      <c r="DC43" s="347"/>
      <c r="DD43" s="394"/>
      <c r="DE43" s="394"/>
      <c r="DF43" s="394"/>
      <c r="DG43" s="394"/>
      <c r="DH43" s="394"/>
    </row>
    <row r="44" spans="1:112" x14ac:dyDescent="0.25">
      <c r="A44" s="179">
        <v>146</v>
      </c>
      <c r="B44" s="181" t="s">
        <v>79</v>
      </c>
      <c r="C44" s="373">
        <v>4857</v>
      </c>
      <c r="D44" s="360">
        <v>21</v>
      </c>
      <c r="E44" s="213"/>
      <c r="G44" s="363">
        <v>5789</v>
      </c>
      <c r="H44" s="363">
        <v>44058</v>
      </c>
      <c r="I44" s="349"/>
      <c r="J44" s="363">
        <v>12804</v>
      </c>
      <c r="K44" s="363">
        <v>3002</v>
      </c>
      <c r="L44" s="363">
        <v>1484</v>
      </c>
      <c r="M44" s="363">
        <v>17290</v>
      </c>
      <c r="N44" s="363">
        <v>21552</v>
      </c>
      <c r="O44" s="363">
        <v>0</v>
      </c>
      <c r="P44" s="363">
        <v>104</v>
      </c>
      <c r="Q44" s="363">
        <v>343</v>
      </c>
      <c r="R44" s="363">
        <v>6</v>
      </c>
      <c r="S44" s="363">
        <v>806</v>
      </c>
      <c r="U44" s="363">
        <v>1903</v>
      </c>
      <c r="V44" s="363">
        <v>0</v>
      </c>
      <c r="W44" s="363">
        <v>0</v>
      </c>
      <c r="X44" s="363">
        <v>-1097</v>
      </c>
      <c r="Y44" s="363">
        <v>94</v>
      </c>
      <c r="Z44" s="363">
        <v>0</v>
      </c>
      <c r="AA44" s="363">
        <v>0</v>
      </c>
      <c r="AB44" s="363">
        <v>-1003</v>
      </c>
      <c r="AD44" s="363">
        <v>4159</v>
      </c>
      <c r="AG44" s="363">
        <v>301</v>
      </c>
      <c r="AH44" s="349"/>
      <c r="AJ44" s="363">
        <v>948</v>
      </c>
      <c r="AL44" s="363">
        <v>9086</v>
      </c>
      <c r="AN44" s="349"/>
      <c r="AO44" s="454">
        <v>4749</v>
      </c>
      <c r="AP44" s="478">
        <v>21</v>
      </c>
      <c r="AQ44" s="213"/>
      <c r="AS44" s="509">
        <v>4923</v>
      </c>
      <c r="AT44" s="349">
        <v>41159</v>
      </c>
      <c r="AU44" s="480">
        <v>-36236</v>
      </c>
      <c r="AV44" s="199">
        <v>12966</v>
      </c>
      <c r="AW44" s="199">
        <v>3160</v>
      </c>
      <c r="AX44" s="199">
        <v>1336</v>
      </c>
      <c r="AY44" s="199">
        <v>17462</v>
      </c>
      <c r="AZ44" s="199">
        <v>22633</v>
      </c>
      <c r="BA44" s="181">
        <v>0</v>
      </c>
      <c r="BB44" s="511">
        <v>88</v>
      </c>
      <c r="BC44" s="181">
        <v>348</v>
      </c>
      <c r="BD44" s="181">
        <v>20</v>
      </c>
      <c r="BE44" s="199">
        <v>4099</v>
      </c>
      <c r="BG44" s="183">
        <v>1689</v>
      </c>
      <c r="BH44" s="183">
        <v>0</v>
      </c>
      <c r="BI44" s="183">
        <v>0</v>
      </c>
      <c r="BJ44" s="199">
        <v>2410</v>
      </c>
      <c r="BK44" s="199">
        <v>43</v>
      </c>
      <c r="BL44" s="183">
        <v>-500</v>
      </c>
      <c r="BM44" s="199">
        <v>0</v>
      </c>
      <c r="BN44" s="199">
        <v>1953</v>
      </c>
      <c r="BP44" s="199">
        <v>6112</v>
      </c>
      <c r="BS44" s="211"/>
      <c r="BV44" s="514">
        <v>5693</v>
      </c>
      <c r="BX44" s="181">
        <v>9492</v>
      </c>
      <c r="BZ44" s="349"/>
      <c r="CB44" s="340"/>
      <c r="CC44" s="488">
        <v>21</v>
      </c>
      <c r="CD44" s="378"/>
      <c r="CE44" s="378"/>
      <c r="CF44" s="195"/>
      <c r="CG44" s="349"/>
      <c r="CI44" s="181">
        <v>20361</v>
      </c>
      <c r="CJ44" s="183">
        <v>0</v>
      </c>
      <c r="CK44" s="421">
        <v>22541.075538825844</v>
      </c>
      <c r="CL44" s="494">
        <v>22664.943127660492</v>
      </c>
      <c r="CM44" s="483">
        <v>6665.018584118181</v>
      </c>
      <c r="CN44" s="483">
        <v>6726.2264926113912</v>
      </c>
      <c r="CO44" s="483">
        <v>6333.4723426785204</v>
      </c>
      <c r="CP44" s="433">
        <f t="shared" si="0"/>
        <v>-989.07553882584398</v>
      </c>
      <c r="CQ44" s="212"/>
      <c r="CR44" s="212">
        <v>326</v>
      </c>
      <c r="CS44" s="212">
        <v>-547</v>
      </c>
      <c r="CT44" s="183">
        <v>10</v>
      </c>
      <c r="CU44" s="183">
        <v>116</v>
      </c>
      <c r="CV44" s="485">
        <v>0</v>
      </c>
      <c r="CX44" s="422"/>
      <c r="CY44" s="475"/>
      <c r="CZ44" s="450"/>
      <c r="DA44" s="394"/>
      <c r="DB44" s="394"/>
      <c r="DC44" s="347"/>
      <c r="DD44" s="394"/>
      <c r="DE44" s="394"/>
      <c r="DF44" s="394"/>
      <c r="DG44" s="394"/>
      <c r="DH44" s="394"/>
    </row>
    <row r="45" spans="1:112" x14ac:dyDescent="0.25">
      <c r="A45" s="179">
        <v>153</v>
      </c>
      <c r="B45" s="181" t="s">
        <v>80</v>
      </c>
      <c r="C45" s="373">
        <v>26508</v>
      </c>
      <c r="D45" s="360">
        <v>20</v>
      </c>
      <c r="E45" s="213"/>
      <c r="G45" s="363">
        <v>20192</v>
      </c>
      <c r="H45" s="363">
        <v>170102</v>
      </c>
      <c r="I45" s="349"/>
      <c r="J45" s="363">
        <v>90624</v>
      </c>
      <c r="K45" s="363">
        <v>3372</v>
      </c>
      <c r="L45" s="363">
        <v>11979</v>
      </c>
      <c r="M45" s="363">
        <v>105975</v>
      </c>
      <c r="N45" s="363">
        <v>56103</v>
      </c>
      <c r="O45" s="363">
        <v>292</v>
      </c>
      <c r="P45" s="363">
        <v>583</v>
      </c>
      <c r="Q45" s="363">
        <v>1976</v>
      </c>
      <c r="R45" s="363">
        <v>228</v>
      </c>
      <c r="S45" s="363">
        <v>13625</v>
      </c>
      <c r="U45" s="363">
        <v>11611</v>
      </c>
      <c r="V45" s="363">
        <v>7</v>
      </c>
      <c r="W45" s="363">
        <v>0</v>
      </c>
      <c r="X45" s="363">
        <v>2021</v>
      </c>
      <c r="Y45" s="363">
        <v>0</v>
      </c>
      <c r="Z45" s="363">
        <v>-2678</v>
      </c>
      <c r="AA45" s="363">
        <v>1301</v>
      </c>
      <c r="AB45" s="363">
        <v>644</v>
      </c>
      <c r="AD45" s="363">
        <v>66544</v>
      </c>
      <c r="AG45" s="363">
        <v>-29304</v>
      </c>
      <c r="AH45" s="349"/>
      <c r="AJ45" s="363">
        <v>16259</v>
      </c>
      <c r="AL45" s="363">
        <v>90418</v>
      </c>
      <c r="AN45" s="349"/>
      <c r="AO45" s="454">
        <v>26075</v>
      </c>
      <c r="AP45" s="478">
        <v>20</v>
      </c>
      <c r="AQ45" s="213"/>
      <c r="AS45" s="509">
        <v>19623</v>
      </c>
      <c r="AT45" s="349">
        <v>183132</v>
      </c>
      <c r="AU45" s="480">
        <v>-163509</v>
      </c>
      <c r="AV45" s="199">
        <v>90701</v>
      </c>
      <c r="AW45" s="199">
        <v>3804</v>
      </c>
      <c r="AX45" s="199">
        <v>11241</v>
      </c>
      <c r="AY45" s="199">
        <v>105746</v>
      </c>
      <c r="AZ45" s="199">
        <v>68907</v>
      </c>
      <c r="BA45" s="181">
        <v>274</v>
      </c>
      <c r="BB45" s="511">
        <v>519</v>
      </c>
      <c r="BC45" s="181">
        <v>1878</v>
      </c>
      <c r="BD45" s="181">
        <v>2</v>
      </c>
      <c r="BE45" s="199">
        <v>12775</v>
      </c>
      <c r="BG45" s="183">
        <v>8453</v>
      </c>
      <c r="BH45" s="183">
        <v>0</v>
      </c>
      <c r="BI45" s="183">
        <v>0</v>
      </c>
      <c r="BJ45" s="199">
        <v>4322</v>
      </c>
      <c r="BK45" s="199">
        <v>0</v>
      </c>
      <c r="BL45" s="199">
        <v>0</v>
      </c>
      <c r="BM45" s="183">
        <v>91</v>
      </c>
      <c r="BN45" s="199">
        <v>4413</v>
      </c>
      <c r="BP45" s="199">
        <v>70957</v>
      </c>
      <c r="BS45" s="211"/>
      <c r="BV45" s="514">
        <v>19144</v>
      </c>
      <c r="BX45" s="181">
        <v>101622</v>
      </c>
      <c r="BZ45" s="349"/>
      <c r="CB45" s="340"/>
      <c r="CC45" s="488">
        <v>20</v>
      </c>
      <c r="CD45" s="378"/>
      <c r="CE45" s="378"/>
      <c r="CF45" s="195"/>
      <c r="CG45" s="349"/>
      <c r="CI45" s="181">
        <v>42620</v>
      </c>
      <c r="CJ45" s="183">
        <v>0</v>
      </c>
      <c r="CK45" s="421">
        <v>66907.825782002983</v>
      </c>
      <c r="CL45" s="494">
        <v>71714.915349897536</v>
      </c>
      <c r="CM45" s="483">
        <v>15057.218453702639</v>
      </c>
      <c r="CN45" s="483">
        <v>14586.778165075864</v>
      </c>
      <c r="CO45" s="483">
        <v>14082.815696606362</v>
      </c>
      <c r="CP45" s="433">
        <f t="shared" si="0"/>
        <v>-10804.825782002983</v>
      </c>
      <c r="CQ45" s="212"/>
      <c r="CR45" s="212">
        <v>6474</v>
      </c>
      <c r="CS45" s="212">
        <v>-29494</v>
      </c>
      <c r="CT45" s="183">
        <v>444</v>
      </c>
      <c r="CU45" s="183">
        <v>141</v>
      </c>
      <c r="CV45" s="485">
        <v>-13</v>
      </c>
      <c r="CX45" s="422"/>
      <c r="CY45" s="475"/>
      <c r="CZ45" s="450"/>
      <c r="DA45" s="394"/>
      <c r="DB45" s="394"/>
      <c r="DC45" s="347"/>
      <c r="DD45" s="394"/>
      <c r="DE45" s="394"/>
      <c r="DF45" s="394"/>
      <c r="DG45" s="394"/>
      <c r="DH45" s="394"/>
    </row>
    <row r="46" spans="1:112" x14ac:dyDescent="0.25">
      <c r="A46" s="179">
        <v>148</v>
      </c>
      <c r="B46" s="181" t="s">
        <v>81</v>
      </c>
      <c r="C46" s="373">
        <v>6907</v>
      </c>
      <c r="D46" s="360">
        <v>19</v>
      </c>
      <c r="E46" s="213"/>
      <c r="G46" s="363">
        <v>9595</v>
      </c>
      <c r="H46" s="363">
        <v>59133</v>
      </c>
      <c r="I46" s="349"/>
      <c r="J46" s="363">
        <v>20440</v>
      </c>
      <c r="K46" s="363">
        <v>2705</v>
      </c>
      <c r="L46" s="363">
        <v>4508</v>
      </c>
      <c r="M46" s="363">
        <v>27653</v>
      </c>
      <c r="N46" s="363">
        <v>23367</v>
      </c>
      <c r="O46" s="363">
        <v>124</v>
      </c>
      <c r="P46" s="363">
        <v>155</v>
      </c>
      <c r="Q46" s="363">
        <v>884</v>
      </c>
      <c r="R46" s="363">
        <v>7</v>
      </c>
      <c r="S46" s="363">
        <v>2328</v>
      </c>
      <c r="U46" s="363">
        <v>2056</v>
      </c>
      <c r="V46" s="363">
        <v>0</v>
      </c>
      <c r="W46" s="363">
        <v>0</v>
      </c>
      <c r="X46" s="363">
        <v>272</v>
      </c>
      <c r="Y46" s="363">
        <v>0</v>
      </c>
      <c r="Z46" s="363">
        <v>0</v>
      </c>
      <c r="AA46" s="363">
        <v>7</v>
      </c>
      <c r="AB46" s="363">
        <v>279</v>
      </c>
      <c r="AD46" s="363">
        <v>11245</v>
      </c>
      <c r="AG46" s="363">
        <v>-3810</v>
      </c>
      <c r="AH46" s="349"/>
      <c r="AJ46" s="363">
        <v>6391</v>
      </c>
      <c r="AL46" s="363">
        <v>13280</v>
      </c>
      <c r="AN46" s="349"/>
      <c r="AO46" s="454">
        <v>6862</v>
      </c>
      <c r="AP46" s="478">
        <v>19</v>
      </c>
      <c r="AQ46" s="213"/>
      <c r="AS46" s="509">
        <v>9849</v>
      </c>
      <c r="AT46" s="349">
        <v>60049</v>
      </c>
      <c r="AU46" s="480">
        <v>-50200</v>
      </c>
      <c r="AV46" s="199">
        <v>20976</v>
      </c>
      <c r="AW46" s="199">
        <v>3041</v>
      </c>
      <c r="AX46" s="199">
        <v>4228</v>
      </c>
      <c r="AY46" s="199">
        <v>28245</v>
      </c>
      <c r="AZ46" s="199">
        <v>27129</v>
      </c>
      <c r="BA46" s="181">
        <v>123</v>
      </c>
      <c r="BB46" s="511">
        <v>138</v>
      </c>
      <c r="BC46" s="181">
        <v>914</v>
      </c>
      <c r="BD46" s="181">
        <v>15</v>
      </c>
      <c r="BE46" s="199">
        <v>6058</v>
      </c>
      <c r="BG46" s="183">
        <v>2617</v>
      </c>
      <c r="BH46" s="183">
        <v>0</v>
      </c>
      <c r="BI46" s="183">
        <v>0</v>
      </c>
      <c r="BJ46" s="199">
        <v>3441</v>
      </c>
      <c r="BK46" s="183">
        <v>0</v>
      </c>
      <c r="BL46" s="199">
        <v>0</v>
      </c>
      <c r="BM46" s="199">
        <v>-66</v>
      </c>
      <c r="BN46" s="199">
        <v>3375</v>
      </c>
      <c r="BP46" s="199">
        <v>14620</v>
      </c>
      <c r="BS46" s="211"/>
      <c r="BV46" s="514">
        <v>8048</v>
      </c>
      <c r="BX46" s="181">
        <v>12136</v>
      </c>
      <c r="BZ46" s="349"/>
      <c r="CB46" s="340"/>
      <c r="CC46" s="488">
        <v>19</v>
      </c>
      <c r="CD46" s="378"/>
      <c r="CE46" s="378"/>
      <c r="CF46" s="195"/>
      <c r="CG46" s="349"/>
      <c r="CI46" s="181">
        <v>20079</v>
      </c>
      <c r="CJ46" s="183">
        <v>0</v>
      </c>
      <c r="CK46" s="421">
        <v>26254.836517287353</v>
      </c>
      <c r="CL46" s="494">
        <v>27233.146202520034</v>
      </c>
      <c r="CM46" s="483">
        <v>8788.3798747307555</v>
      </c>
      <c r="CN46" s="483">
        <v>9280.5911162373177</v>
      </c>
      <c r="CO46" s="483">
        <v>9320.191979705387</v>
      </c>
      <c r="CP46" s="433">
        <f t="shared" si="0"/>
        <v>-2887.8365172873528</v>
      </c>
      <c r="CQ46" s="212"/>
      <c r="CR46" s="212">
        <v>-827</v>
      </c>
      <c r="CS46" s="212">
        <v>-3635</v>
      </c>
      <c r="CT46" s="183">
        <v>272</v>
      </c>
      <c r="CU46" s="183">
        <v>1040</v>
      </c>
      <c r="CV46" s="485">
        <v>-149</v>
      </c>
      <c r="CX46" s="422"/>
      <c r="CY46" s="475"/>
      <c r="CZ46" s="450"/>
      <c r="DA46" s="394"/>
      <c r="DB46" s="394"/>
      <c r="DC46" s="347"/>
      <c r="DD46" s="394"/>
      <c r="DE46" s="394"/>
      <c r="DF46" s="394"/>
      <c r="DG46" s="394"/>
      <c r="DH46" s="394"/>
    </row>
    <row r="47" spans="1:112" x14ac:dyDescent="0.25">
      <c r="A47" s="179">
        <v>149</v>
      </c>
      <c r="B47" s="181" t="s">
        <v>82</v>
      </c>
      <c r="C47" s="373">
        <v>5386</v>
      </c>
      <c r="D47" s="360">
        <v>20.75</v>
      </c>
      <c r="E47" s="213"/>
      <c r="G47" s="363">
        <v>4425</v>
      </c>
      <c r="H47" s="363">
        <v>36613</v>
      </c>
      <c r="I47" s="349"/>
      <c r="J47" s="363">
        <v>21925</v>
      </c>
      <c r="K47" s="363">
        <v>1129</v>
      </c>
      <c r="L47" s="363">
        <v>2899</v>
      </c>
      <c r="M47" s="363">
        <v>25953</v>
      </c>
      <c r="N47" s="363">
        <v>6867</v>
      </c>
      <c r="O47" s="363">
        <v>0</v>
      </c>
      <c r="P47" s="363">
        <v>111</v>
      </c>
      <c r="Q47" s="363">
        <v>62</v>
      </c>
      <c r="R47" s="363">
        <v>2</v>
      </c>
      <c r="S47" s="363">
        <v>581</v>
      </c>
      <c r="U47" s="363">
        <v>1563</v>
      </c>
      <c r="V47" s="363">
        <v>0</v>
      </c>
      <c r="W47" s="363">
        <v>0</v>
      </c>
      <c r="X47" s="363">
        <v>-982</v>
      </c>
      <c r="Y47" s="363">
        <v>0</v>
      </c>
      <c r="Z47" s="363">
        <v>-15</v>
      </c>
      <c r="AA47" s="363">
        <v>0</v>
      </c>
      <c r="AB47" s="363">
        <v>-997</v>
      </c>
      <c r="AD47" s="363">
        <v>7188</v>
      </c>
      <c r="AG47" s="363">
        <v>-1808</v>
      </c>
      <c r="AH47" s="349"/>
      <c r="AJ47" s="363">
        <v>1630</v>
      </c>
      <c r="AL47" s="363">
        <v>15365</v>
      </c>
      <c r="AN47" s="349"/>
      <c r="AO47" s="454">
        <v>5321</v>
      </c>
      <c r="AP47" s="478">
        <v>20.75</v>
      </c>
      <c r="AQ47" s="213"/>
      <c r="AS47" s="509">
        <v>5024</v>
      </c>
      <c r="AT47" s="349">
        <v>35889</v>
      </c>
      <c r="AU47" s="480">
        <v>-30865</v>
      </c>
      <c r="AV47" s="199">
        <v>22802</v>
      </c>
      <c r="AW47" s="199">
        <v>1306</v>
      </c>
      <c r="AX47" s="199">
        <v>2651</v>
      </c>
      <c r="AY47" s="199">
        <v>26759</v>
      </c>
      <c r="AZ47" s="199">
        <v>9188</v>
      </c>
      <c r="BA47" s="181">
        <v>0</v>
      </c>
      <c r="BB47" s="511">
        <v>93</v>
      </c>
      <c r="BC47" s="181">
        <v>56</v>
      </c>
      <c r="BD47" s="181">
        <v>2</v>
      </c>
      <c r="BE47" s="199">
        <v>5043</v>
      </c>
      <c r="BG47" s="183">
        <v>1635</v>
      </c>
      <c r="BH47" s="199">
        <v>0</v>
      </c>
      <c r="BI47" s="199">
        <v>0</v>
      </c>
      <c r="BJ47" s="199">
        <v>3408</v>
      </c>
      <c r="BK47" s="183">
        <v>-45</v>
      </c>
      <c r="BL47" s="183">
        <v>-3170</v>
      </c>
      <c r="BM47" s="183">
        <v>0</v>
      </c>
      <c r="BN47" s="199">
        <v>193</v>
      </c>
      <c r="BP47" s="199">
        <v>7804</v>
      </c>
      <c r="BS47" s="211"/>
      <c r="BV47" s="514">
        <v>818</v>
      </c>
      <c r="BX47" s="181">
        <v>13297</v>
      </c>
      <c r="BZ47" s="349"/>
      <c r="CB47" s="340"/>
      <c r="CC47" s="488">
        <v>20.75</v>
      </c>
      <c r="CD47" s="378"/>
      <c r="CE47" s="378"/>
      <c r="CF47" s="195"/>
      <c r="CG47" s="349"/>
      <c r="CH47" s="347"/>
      <c r="CI47" s="181">
        <v>5420</v>
      </c>
      <c r="CJ47" s="183">
        <v>0</v>
      </c>
      <c r="CK47" s="421">
        <v>7607.5426197293173</v>
      </c>
      <c r="CL47" s="494">
        <v>7854.3433839074651</v>
      </c>
      <c r="CM47" s="483">
        <v>2954.1595323610736</v>
      </c>
      <c r="CN47" s="483">
        <v>2850.7895738538114</v>
      </c>
      <c r="CO47" s="483">
        <v>2738.8123951496673</v>
      </c>
      <c r="CP47" s="433">
        <f t="shared" si="0"/>
        <v>-740.54261972931727</v>
      </c>
      <c r="CQ47" s="212"/>
      <c r="CR47" s="212">
        <v>-396</v>
      </c>
      <c r="CS47" s="212">
        <v>-3379</v>
      </c>
      <c r="CT47" s="183">
        <v>11</v>
      </c>
      <c r="CU47" s="183">
        <v>1127</v>
      </c>
      <c r="CV47" s="485">
        <v>-18</v>
      </c>
      <c r="CX47" s="422"/>
      <c r="CY47" s="475"/>
      <c r="CZ47" s="450"/>
      <c r="DA47" s="394"/>
      <c r="DB47" s="394"/>
      <c r="DC47" s="347"/>
      <c r="DD47" s="394"/>
      <c r="DE47" s="394"/>
      <c r="DF47" s="394"/>
      <c r="DG47" s="394"/>
      <c r="DH47" s="394"/>
    </row>
    <row r="48" spans="1:112" x14ac:dyDescent="0.25">
      <c r="A48" s="179">
        <v>151</v>
      </c>
      <c r="B48" s="181" t="s">
        <v>83</v>
      </c>
      <c r="C48" s="373">
        <v>1951</v>
      </c>
      <c r="D48" s="360">
        <v>22</v>
      </c>
      <c r="E48" s="213"/>
      <c r="G48" s="363">
        <v>1792</v>
      </c>
      <c r="H48" s="363">
        <v>15649</v>
      </c>
      <c r="I48" s="349"/>
      <c r="J48" s="363">
        <v>4983</v>
      </c>
      <c r="K48" s="363">
        <v>659</v>
      </c>
      <c r="L48" s="363">
        <v>457</v>
      </c>
      <c r="M48" s="363">
        <v>6099</v>
      </c>
      <c r="N48" s="363">
        <v>7832</v>
      </c>
      <c r="O48" s="363">
        <v>0</v>
      </c>
      <c r="P48" s="363">
        <v>16</v>
      </c>
      <c r="Q48" s="363">
        <v>27</v>
      </c>
      <c r="R48" s="363">
        <v>11</v>
      </c>
      <c r="S48" s="363">
        <v>74</v>
      </c>
      <c r="U48" s="363">
        <v>493</v>
      </c>
      <c r="V48" s="363">
        <v>0</v>
      </c>
      <c r="W48" s="363">
        <v>0</v>
      </c>
      <c r="X48" s="363">
        <v>-419</v>
      </c>
      <c r="Y48" s="363">
        <v>3</v>
      </c>
      <c r="Z48" s="363">
        <v>0</v>
      </c>
      <c r="AA48" s="363">
        <v>0</v>
      </c>
      <c r="AB48" s="363">
        <v>-416</v>
      </c>
      <c r="AD48" s="363">
        <v>1589</v>
      </c>
      <c r="AG48" s="363">
        <v>-283</v>
      </c>
      <c r="AH48" s="349"/>
      <c r="AJ48" s="363">
        <v>1543</v>
      </c>
      <c r="AL48" s="363">
        <v>837</v>
      </c>
      <c r="AN48" s="349"/>
      <c r="AO48" s="454">
        <v>1925</v>
      </c>
      <c r="AP48" s="478">
        <v>22</v>
      </c>
      <c r="AQ48" s="213"/>
      <c r="AS48" s="509">
        <v>1863</v>
      </c>
      <c r="AT48" s="349">
        <v>15054</v>
      </c>
      <c r="AU48" s="480">
        <v>-13191</v>
      </c>
      <c r="AV48" s="199">
        <v>5528</v>
      </c>
      <c r="AW48" s="199">
        <v>805</v>
      </c>
      <c r="AX48" s="199">
        <v>581</v>
      </c>
      <c r="AY48" s="199">
        <v>6914</v>
      </c>
      <c r="AZ48" s="199">
        <v>8070</v>
      </c>
      <c r="BA48" s="181">
        <v>0</v>
      </c>
      <c r="BB48" s="511">
        <v>13</v>
      </c>
      <c r="BC48" s="181">
        <v>25</v>
      </c>
      <c r="BD48" s="181">
        <v>11</v>
      </c>
      <c r="BE48" s="199">
        <v>1794</v>
      </c>
      <c r="BG48" s="183">
        <v>501</v>
      </c>
      <c r="BH48" s="183">
        <v>0</v>
      </c>
      <c r="BI48" s="183">
        <v>0</v>
      </c>
      <c r="BJ48" s="199">
        <v>1293</v>
      </c>
      <c r="BK48" s="199">
        <v>3</v>
      </c>
      <c r="BL48" s="199">
        <v>0</v>
      </c>
      <c r="BM48" s="183">
        <v>0</v>
      </c>
      <c r="BN48" s="199">
        <v>1296</v>
      </c>
      <c r="BP48" s="199">
        <v>2885</v>
      </c>
      <c r="BS48" s="211"/>
      <c r="BV48" s="514">
        <v>2170</v>
      </c>
      <c r="BX48" s="181">
        <v>612</v>
      </c>
      <c r="BZ48" s="349"/>
      <c r="CB48" s="340"/>
      <c r="CC48" s="488">
        <v>22</v>
      </c>
      <c r="CD48" s="378"/>
      <c r="CE48" s="378"/>
      <c r="CF48" s="195"/>
      <c r="CG48" s="349"/>
      <c r="CI48" s="181">
        <v>7935</v>
      </c>
      <c r="CJ48" s="183">
        <v>0</v>
      </c>
      <c r="CK48" s="421">
        <v>7673.5016572006989</v>
      </c>
      <c r="CL48" s="494">
        <v>8071.831648160427</v>
      </c>
      <c r="CM48" s="483">
        <v>1081.8671212493221</v>
      </c>
      <c r="CN48" s="483">
        <v>994.19572678033023</v>
      </c>
      <c r="CO48" s="483">
        <v>977.34585294040357</v>
      </c>
      <c r="CP48" s="433">
        <f t="shared" si="0"/>
        <v>158.4983427993011</v>
      </c>
      <c r="CQ48" s="212"/>
      <c r="CR48" s="212">
        <v>-14</v>
      </c>
      <c r="CS48" s="212">
        <v>-456</v>
      </c>
      <c r="CT48" s="183">
        <v>35</v>
      </c>
      <c r="CU48" s="183">
        <v>14</v>
      </c>
      <c r="CV48" s="485">
        <v>18</v>
      </c>
      <c r="CX48" s="422"/>
      <c r="CY48" s="475"/>
      <c r="CZ48" s="450"/>
      <c r="DA48" s="394"/>
      <c r="DB48" s="394"/>
      <c r="DC48" s="347"/>
      <c r="DD48" s="394"/>
      <c r="DE48" s="394"/>
      <c r="DF48" s="394"/>
      <c r="DG48" s="394"/>
      <c r="DH48" s="394"/>
    </row>
    <row r="49" spans="1:112" x14ac:dyDescent="0.25">
      <c r="A49" s="179">
        <v>152</v>
      </c>
      <c r="B49" s="181" t="s">
        <v>84</v>
      </c>
      <c r="C49" s="373">
        <v>4522</v>
      </c>
      <c r="D49" s="360">
        <v>21.5</v>
      </c>
      <c r="E49" s="213"/>
      <c r="G49" s="363">
        <v>3445</v>
      </c>
      <c r="H49" s="363">
        <v>30726</v>
      </c>
      <c r="I49" s="349"/>
      <c r="J49" s="363">
        <v>13658</v>
      </c>
      <c r="K49" s="363">
        <v>627</v>
      </c>
      <c r="L49" s="363">
        <v>929</v>
      </c>
      <c r="M49" s="363">
        <v>15214</v>
      </c>
      <c r="N49" s="363">
        <v>13158</v>
      </c>
      <c r="O49" s="363">
        <v>4</v>
      </c>
      <c r="P49" s="363">
        <v>11</v>
      </c>
      <c r="Q49" s="363">
        <v>85</v>
      </c>
      <c r="R49" s="363">
        <v>2</v>
      </c>
      <c r="S49" s="363">
        <v>1167</v>
      </c>
      <c r="U49" s="363">
        <v>1265</v>
      </c>
      <c r="V49" s="363">
        <v>0</v>
      </c>
      <c r="W49" s="363">
        <v>0</v>
      </c>
      <c r="X49" s="363">
        <v>-98</v>
      </c>
      <c r="Y49" s="363">
        <v>0</v>
      </c>
      <c r="Z49" s="363">
        <v>0</v>
      </c>
      <c r="AA49" s="363">
        <v>0</v>
      </c>
      <c r="AB49" s="363">
        <v>-98</v>
      </c>
      <c r="AD49" s="363">
        <v>11238</v>
      </c>
      <c r="AG49" s="363">
        <v>-4897</v>
      </c>
      <c r="AH49" s="349"/>
      <c r="AJ49" s="363">
        <v>3046</v>
      </c>
      <c r="AL49" s="363">
        <v>3575</v>
      </c>
      <c r="AN49" s="349"/>
      <c r="AO49" s="454">
        <v>4471</v>
      </c>
      <c r="AP49" s="478">
        <v>21.5</v>
      </c>
      <c r="AQ49" s="213"/>
      <c r="AS49" s="509">
        <v>3249</v>
      </c>
      <c r="AT49" s="349">
        <v>30765</v>
      </c>
      <c r="AU49" s="480">
        <v>-27516</v>
      </c>
      <c r="AV49" s="199">
        <v>13852</v>
      </c>
      <c r="AW49" s="199">
        <v>676</v>
      </c>
      <c r="AX49" s="199">
        <v>835</v>
      </c>
      <c r="AY49" s="199">
        <v>15363</v>
      </c>
      <c r="AZ49" s="199">
        <v>14913</v>
      </c>
      <c r="BA49" s="181">
        <v>6</v>
      </c>
      <c r="BB49" s="511">
        <v>18</v>
      </c>
      <c r="BC49" s="181">
        <v>85</v>
      </c>
      <c r="BD49" s="181">
        <v>14</v>
      </c>
      <c r="BE49" s="199">
        <v>2819</v>
      </c>
      <c r="BG49" s="183">
        <v>1453</v>
      </c>
      <c r="BH49" s="183">
        <v>0</v>
      </c>
      <c r="BI49" s="183">
        <v>0</v>
      </c>
      <c r="BJ49" s="199">
        <v>1366</v>
      </c>
      <c r="BK49" s="199">
        <v>0</v>
      </c>
      <c r="BL49" s="183">
        <v>0</v>
      </c>
      <c r="BM49" s="183">
        <v>0</v>
      </c>
      <c r="BN49" s="199">
        <v>1366</v>
      </c>
      <c r="BP49" s="199">
        <v>12604</v>
      </c>
      <c r="BS49" s="211"/>
      <c r="BV49" s="514">
        <v>4180</v>
      </c>
      <c r="BX49" s="181">
        <v>4000</v>
      </c>
      <c r="BZ49" s="349"/>
      <c r="CB49" s="340"/>
      <c r="CC49" s="488">
        <v>21.5</v>
      </c>
      <c r="CD49" s="378"/>
      <c r="CE49" s="378"/>
      <c r="CF49" s="195"/>
      <c r="CG49" s="349"/>
      <c r="CI49" s="181">
        <v>11136</v>
      </c>
      <c r="CJ49" s="183">
        <v>0</v>
      </c>
      <c r="CK49" s="421">
        <v>14480.258683012346</v>
      </c>
      <c r="CL49" s="494">
        <v>14626.744966223776</v>
      </c>
      <c r="CM49" s="483">
        <v>5410.6231361137616</v>
      </c>
      <c r="CN49" s="483">
        <v>5164.0044959310453</v>
      </c>
      <c r="CO49" s="483">
        <v>5000.7286357278208</v>
      </c>
      <c r="CP49" s="433">
        <f t="shared" si="0"/>
        <v>-1322.2586830123455</v>
      </c>
      <c r="CQ49" s="212"/>
      <c r="CR49" s="212">
        <v>110</v>
      </c>
      <c r="CS49" s="212">
        <v>-2084</v>
      </c>
      <c r="CT49" s="183">
        <v>154</v>
      </c>
      <c r="CU49" s="183">
        <v>122</v>
      </c>
      <c r="CV49" s="485">
        <v>12</v>
      </c>
      <c r="CX49" s="422"/>
      <c r="CY49" s="475"/>
      <c r="CZ49" s="450"/>
      <c r="DA49" s="394"/>
      <c r="DB49" s="394"/>
      <c r="DC49" s="347"/>
      <c r="DD49" s="394"/>
      <c r="DE49" s="394"/>
      <c r="DF49" s="394"/>
      <c r="DG49" s="394"/>
      <c r="DH49" s="394"/>
    </row>
    <row r="50" spans="1:112" x14ac:dyDescent="0.25">
      <c r="A50" s="179">
        <v>165</v>
      </c>
      <c r="B50" s="181" t="s">
        <v>85</v>
      </c>
      <c r="C50" s="373">
        <v>16413</v>
      </c>
      <c r="D50" s="360">
        <v>21</v>
      </c>
      <c r="E50" s="213"/>
      <c r="G50" s="363">
        <v>16092</v>
      </c>
      <c r="H50" s="363">
        <v>101624</v>
      </c>
      <c r="I50" s="349"/>
      <c r="J50" s="363">
        <v>57028</v>
      </c>
      <c r="K50" s="363">
        <v>1999</v>
      </c>
      <c r="L50" s="363">
        <v>3787</v>
      </c>
      <c r="M50" s="363">
        <v>62814</v>
      </c>
      <c r="N50" s="363">
        <v>24290</v>
      </c>
      <c r="O50" s="363">
        <v>65</v>
      </c>
      <c r="P50" s="363">
        <v>433</v>
      </c>
      <c r="Q50" s="363">
        <v>211</v>
      </c>
      <c r="R50" s="363">
        <v>73</v>
      </c>
      <c r="S50" s="363">
        <v>1342</v>
      </c>
      <c r="U50" s="363">
        <v>6091</v>
      </c>
      <c r="V50" s="363">
        <v>333</v>
      </c>
      <c r="W50" s="363">
        <v>0</v>
      </c>
      <c r="X50" s="363">
        <v>-4416</v>
      </c>
      <c r="Y50" s="363">
        <v>0</v>
      </c>
      <c r="Z50" s="363">
        <v>0</v>
      </c>
      <c r="AA50" s="363">
        <v>0</v>
      </c>
      <c r="AB50" s="363">
        <v>-4416</v>
      </c>
      <c r="AD50" s="363">
        <v>-939</v>
      </c>
      <c r="AG50" s="363">
        <v>-6937</v>
      </c>
      <c r="AH50" s="349"/>
      <c r="AJ50" s="363">
        <v>6130</v>
      </c>
      <c r="AL50" s="363">
        <v>48374</v>
      </c>
      <c r="AN50" s="349"/>
      <c r="AO50" s="454">
        <v>16237</v>
      </c>
      <c r="AP50" s="478">
        <v>21</v>
      </c>
      <c r="AQ50" s="213"/>
      <c r="AS50" s="509">
        <v>16087</v>
      </c>
      <c r="AT50" s="349">
        <v>104148</v>
      </c>
      <c r="AU50" s="480">
        <v>-88061</v>
      </c>
      <c r="AV50" s="199">
        <v>60799</v>
      </c>
      <c r="AW50" s="199">
        <v>2485</v>
      </c>
      <c r="AX50" s="199">
        <v>3421</v>
      </c>
      <c r="AY50" s="199">
        <v>66705</v>
      </c>
      <c r="AZ50" s="199">
        <v>31634</v>
      </c>
      <c r="BA50" s="181">
        <v>65</v>
      </c>
      <c r="BB50" s="511">
        <v>401</v>
      </c>
      <c r="BC50" s="181">
        <v>194</v>
      </c>
      <c r="BD50" s="181">
        <v>113</v>
      </c>
      <c r="BE50" s="199">
        <v>10023</v>
      </c>
      <c r="BG50" s="183">
        <v>6478</v>
      </c>
      <c r="BH50" s="183">
        <v>0</v>
      </c>
      <c r="BI50" s="183">
        <v>0</v>
      </c>
      <c r="BJ50" s="199">
        <v>3545</v>
      </c>
      <c r="BK50" s="199">
        <v>0</v>
      </c>
      <c r="BL50" s="199">
        <v>0</v>
      </c>
      <c r="BM50" s="183">
        <v>0</v>
      </c>
      <c r="BN50" s="199">
        <v>3545</v>
      </c>
      <c r="BP50" s="199">
        <v>2607</v>
      </c>
      <c r="BS50" s="211"/>
      <c r="BV50" s="514">
        <v>9780</v>
      </c>
      <c r="BX50" s="181">
        <v>52921</v>
      </c>
      <c r="BZ50" s="349"/>
      <c r="CB50" s="340"/>
      <c r="CC50" s="488">
        <v>21</v>
      </c>
      <c r="CD50" s="378"/>
      <c r="CE50" s="378"/>
      <c r="CF50" s="195"/>
      <c r="CG50" s="349"/>
      <c r="CI50" s="181">
        <v>21036</v>
      </c>
      <c r="CJ50" s="183">
        <v>0</v>
      </c>
      <c r="CK50" s="421">
        <v>28532.155240131597</v>
      </c>
      <c r="CL50" s="494">
        <v>30599.355234535342</v>
      </c>
      <c r="CM50" s="483">
        <v>7897.4995524863652</v>
      </c>
      <c r="CN50" s="483">
        <v>7710.5110158202197</v>
      </c>
      <c r="CO50" s="483">
        <v>7147.8614305470155</v>
      </c>
      <c r="CP50" s="433">
        <f t="shared" si="0"/>
        <v>-4242.1552401315967</v>
      </c>
      <c r="CQ50" s="212"/>
      <c r="CR50" s="212">
        <v>-710</v>
      </c>
      <c r="CS50" s="212">
        <v>-11950</v>
      </c>
      <c r="CT50" s="183">
        <v>391</v>
      </c>
      <c r="CU50" s="183">
        <v>721</v>
      </c>
      <c r="CV50" s="485">
        <v>0</v>
      </c>
      <c r="CX50" s="422"/>
      <c r="CY50" s="475"/>
      <c r="CZ50" s="450"/>
      <c r="DA50" s="394"/>
      <c r="DB50" s="394"/>
      <c r="DC50" s="347"/>
      <c r="DD50" s="394"/>
      <c r="DE50" s="394"/>
      <c r="DF50" s="394"/>
      <c r="DG50" s="394"/>
      <c r="DH50" s="394"/>
    </row>
    <row r="51" spans="1:112" x14ac:dyDescent="0.25">
      <c r="A51" s="179">
        <v>167</v>
      </c>
      <c r="B51" s="181" t="s">
        <v>86</v>
      </c>
      <c r="C51" s="373">
        <v>76850</v>
      </c>
      <c r="D51" s="360">
        <v>20.5</v>
      </c>
      <c r="E51" s="213"/>
      <c r="G51" s="363">
        <v>78966</v>
      </c>
      <c r="H51" s="363">
        <v>466038</v>
      </c>
      <c r="I51" s="349"/>
      <c r="J51" s="363">
        <v>225883</v>
      </c>
      <c r="K51" s="363">
        <v>21103</v>
      </c>
      <c r="L51" s="363">
        <v>21579</v>
      </c>
      <c r="M51" s="363">
        <v>268565</v>
      </c>
      <c r="N51" s="363">
        <v>145271</v>
      </c>
      <c r="O51" s="363">
        <v>364</v>
      </c>
      <c r="P51" s="363">
        <v>1434</v>
      </c>
      <c r="Q51" s="363">
        <v>4323</v>
      </c>
      <c r="R51" s="363">
        <v>332</v>
      </c>
      <c r="S51" s="363">
        <v>29685</v>
      </c>
      <c r="U51" s="363">
        <v>35429</v>
      </c>
      <c r="V51" s="363">
        <v>0</v>
      </c>
      <c r="W51" s="363">
        <v>0</v>
      </c>
      <c r="X51" s="363">
        <v>-5744</v>
      </c>
      <c r="Y51" s="363">
        <v>-3167</v>
      </c>
      <c r="Z51" s="363">
        <v>5867</v>
      </c>
      <c r="AA51" s="363">
        <v>4</v>
      </c>
      <c r="AB51" s="363">
        <v>-3040</v>
      </c>
      <c r="AD51" s="363">
        <v>26156</v>
      </c>
      <c r="AG51" s="363">
        <v>-44742</v>
      </c>
      <c r="AH51" s="349"/>
      <c r="AJ51" s="363">
        <v>94105</v>
      </c>
      <c r="AL51" s="363">
        <v>251951</v>
      </c>
      <c r="AN51" s="349"/>
      <c r="AO51" s="454">
        <v>76935</v>
      </c>
      <c r="AP51" s="478">
        <v>20.5</v>
      </c>
      <c r="AQ51" s="213"/>
      <c r="AS51" s="509">
        <v>75524</v>
      </c>
      <c r="AT51" s="349">
        <v>471379</v>
      </c>
      <c r="AU51" s="480">
        <v>-395855</v>
      </c>
      <c r="AV51" s="199">
        <v>231975</v>
      </c>
      <c r="AW51" s="199">
        <v>22082</v>
      </c>
      <c r="AX51" s="199">
        <v>19937</v>
      </c>
      <c r="AY51" s="199">
        <v>273994</v>
      </c>
      <c r="AZ51" s="199">
        <v>171380</v>
      </c>
      <c r="BA51" s="181">
        <v>313</v>
      </c>
      <c r="BB51" s="511">
        <v>1349</v>
      </c>
      <c r="BC51" s="181">
        <v>4031</v>
      </c>
      <c r="BD51" s="181">
        <v>792</v>
      </c>
      <c r="BE51" s="199">
        <v>51722</v>
      </c>
      <c r="BG51" s="183">
        <v>39427</v>
      </c>
      <c r="BH51" s="199">
        <v>0</v>
      </c>
      <c r="BI51" s="183">
        <v>0</v>
      </c>
      <c r="BJ51" s="199">
        <v>12295</v>
      </c>
      <c r="BK51" s="199">
        <v>2724</v>
      </c>
      <c r="BL51" s="199">
        <v>-10533</v>
      </c>
      <c r="BM51" s="199">
        <v>3</v>
      </c>
      <c r="BN51" s="199">
        <v>4489</v>
      </c>
      <c r="BP51" s="199">
        <v>30645</v>
      </c>
      <c r="BS51" s="211"/>
      <c r="BV51" s="514">
        <v>105718</v>
      </c>
      <c r="BX51" s="181">
        <v>238557</v>
      </c>
      <c r="BZ51" s="349"/>
      <c r="CB51" s="340"/>
      <c r="CC51" s="488">
        <v>20.5</v>
      </c>
      <c r="CD51" s="378"/>
      <c r="CE51" s="378"/>
      <c r="CF51" s="195"/>
      <c r="CG51" s="349"/>
      <c r="CI51" s="181">
        <v>137821</v>
      </c>
      <c r="CJ51" s="183">
        <v>0</v>
      </c>
      <c r="CK51" s="421">
        <v>162888.489323955</v>
      </c>
      <c r="CL51" s="494">
        <v>171396.7199320996</v>
      </c>
      <c r="CM51" s="483">
        <v>39567.57837260174</v>
      </c>
      <c r="CN51" s="483">
        <v>39378.396714960763</v>
      </c>
      <c r="CO51" s="483">
        <v>38881.067156001853</v>
      </c>
      <c r="CP51" s="433">
        <f t="shared" si="0"/>
        <v>-17617.489323955</v>
      </c>
      <c r="CQ51" s="212"/>
      <c r="CR51" s="212">
        <v>1998</v>
      </c>
      <c r="CS51" s="212">
        <v>-44787</v>
      </c>
      <c r="CT51" s="183">
        <v>1116</v>
      </c>
      <c r="CU51" s="183">
        <v>3606</v>
      </c>
      <c r="CV51" s="485">
        <v>1875</v>
      </c>
      <c r="CX51" s="422"/>
      <c r="CY51" s="475"/>
      <c r="CZ51" s="450"/>
      <c r="DA51" s="394"/>
      <c r="DB51" s="394"/>
      <c r="DC51" s="347"/>
      <c r="DD51" s="394"/>
      <c r="DE51" s="394"/>
      <c r="DF51" s="394"/>
      <c r="DG51" s="394"/>
      <c r="DH51" s="394"/>
    </row>
    <row r="52" spans="1:112" x14ac:dyDescent="0.25">
      <c r="A52" s="179">
        <v>169</v>
      </c>
      <c r="B52" s="181" t="s">
        <v>87</v>
      </c>
      <c r="C52" s="373">
        <v>5133</v>
      </c>
      <c r="D52" s="360">
        <v>21.25</v>
      </c>
      <c r="E52" s="213"/>
      <c r="G52" s="363">
        <v>4377</v>
      </c>
      <c r="H52" s="363">
        <v>31296</v>
      </c>
      <c r="I52" s="349"/>
      <c r="J52" s="363">
        <v>17212</v>
      </c>
      <c r="K52" s="363">
        <v>869</v>
      </c>
      <c r="L52" s="363">
        <v>1013</v>
      </c>
      <c r="M52" s="363">
        <v>19094</v>
      </c>
      <c r="N52" s="363">
        <v>9480</v>
      </c>
      <c r="O52" s="363">
        <v>0</v>
      </c>
      <c r="P52" s="363">
        <v>125</v>
      </c>
      <c r="Q52" s="363">
        <v>36</v>
      </c>
      <c r="R52" s="363">
        <v>3</v>
      </c>
      <c r="S52" s="363">
        <v>1563</v>
      </c>
      <c r="U52" s="363">
        <v>1560</v>
      </c>
      <c r="V52" s="363">
        <v>0</v>
      </c>
      <c r="W52" s="363">
        <v>0</v>
      </c>
      <c r="X52" s="363">
        <v>3</v>
      </c>
      <c r="Y52" s="363">
        <v>0</v>
      </c>
      <c r="Z52" s="363">
        <v>0</v>
      </c>
      <c r="AA52" s="363">
        <v>0</v>
      </c>
      <c r="AB52" s="363">
        <v>3</v>
      </c>
      <c r="AD52" s="363">
        <v>6166</v>
      </c>
      <c r="AG52" s="363">
        <v>-922</v>
      </c>
      <c r="AH52" s="349"/>
      <c r="AJ52" s="363">
        <v>871</v>
      </c>
      <c r="AL52" s="363">
        <v>16094</v>
      </c>
      <c r="AN52" s="349"/>
      <c r="AO52" s="454">
        <v>5061</v>
      </c>
      <c r="AP52" s="478">
        <v>21.25</v>
      </c>
      <c r="AQ52" s="213"/>
      <c r="AS52" s="509">
        <v>4423</v>
      </c>
      <c r="AT52" s="349">
        <v>32072</v>
      </c>
      <c r="AU52" s="480">
        <v>-27649</v>
      </c>
      <c r="AV52" s="199">
        <v>18058</v>
      </c>
      <c r="AW52" s="199">
        <v>1348</v>
      </c>
      <c r="AX52" s="199">
        <v>902</v>
      </c>
      <c r="AY52" s="199">
        <v>20308</v>
      </c>
      <c r="AZ52" s="199">
        <v>11224</v>
      </c>
      <c r="BA52" s="181">
        <v>7</v>
      </c>
      <c r="BB52" s="511">
        <v>118</v>
      </c>
      <c r="BC52" s="181">
        <v>34</v>
      </c>
      <c r="BD52" s="181">
        <v>1</v>
      </c>
      <c r="BE52" s="199">
        <v>3805</v>
      </c>
      <c r="BG52" s="183">
        <v>1423</v>
      </c>
      <c r="BH52" s="183">
        <v>0</v>
      </c>
      <c r="BI52" s="183">
        <v>0</v>
      </c>
      <c r="BJ52" s="199">
        <v>2382</v>
      </c>
      <c r="BK52" s="183">
        <v>0</v>
      </c>
      <c r="BL52" s="183">
        <v>0</v>
      </c>
      <c r="BM52" s="183">
        <v>0</v>
      </c>
      <c r="BN52" s="199">
        <v>2382</v>
      </c>
      <c r="BP52" s="199">
        <v>8549</v>
      </c>
      <c r="BS52" s="211"/>
      <c r="BV52" s="514">
        <v>639</v>
      </c>
      <c r="BX52" s="181">
        <v>12378</v>
      </c>
      <c r="BZ52" s="349"/>
      <c r="CB52" s="340"/>
      <c r="CC52" s="488">
        <v>21.25</v>
      </c>
      <c r="CD52" s="378"/>
      <c r="CE52" s="378"/>
      <c r="CF52" s="195"/>
      <c r="CG52" s="349"/>
      <c r="CI52" s="181">
        <v>8513</v>
      </c>
      <c r="CJ52" s="183">
        <v>0</v>
      </c>
      <c r="CK52" s="421">
        <v>10316.721391916197</v>
      </c>
      <c r="CL52" s="494">
        <v>9688.29035473769</v>
      </c>
      <c r="CM52" s="483">
        <v>1997.9270303348005</v>
      </c>
      <c r="CN52" s="483">
        <v>1450.0056916179417</v>
      </c>
      <c r="CO52" s="483">
        <v>1173.7243663614438</v>
      </c>
      <c r="CP52" s="433">
        <f t="shared" si="0"/>
        <v>-836.72139191619681</v>
      </c>
      <c r="CQ52" s="212"/>
      <c r="CR52" s="212">
        <v>-117</v>
      </c>
      <c r="CS52" s="212">
        <v>-902</v>
      </c>
      <c r="CT52" s="183">
        <v>0</v>
      </c>
      <c r="CU52" s="183">
        <v>105</v>
      </c>
      <c r="CV52" s="485">
        <v>0</v>
      </c>
      <c r="CX52" s="422"/>
      <c r="CY52" s="475"/>
      <c r="CZ52" s="450"/>
      <c r="DA52" s="394"/>
      <c r="DB52" s="394"/>
      <c r="DC52" s="347"/>
      <c r="DD52" s="394"/>
      <c r="DE52" s="394"/>
      <c r="DF52" s="394"/>
      <c r="DG52" s="394"/>
      <c r="DH52" s="394"/>
    </row>
    <row r="53" spans="1:112" x14ac:dyDescent="0.25">
      <c r="A53" s="179">
        <v>171</v>
      </c>
      <c r="B53" s="181" t="s">
        <v>88</v>
      </c>
      <c r="C53" s="373">
        <v>4767</v>
      </c>
      <c r="D53" s="360">
        <v>21.25</v>
      </c>
      <c r="E53" s="213"/>
      <c r="G53" s="363">
        <v>4025</v>
      </c>
      <c r="H53" s="363">
        <v>32751</v>
      </c>
      <c r="I53" s="349"/>
      <c r="J53" s="363">
        <v>14427</v>
      </c>
      <c r="K53" s="363">
        <v>1439</v>
      </c>
      <c r="L53" s="363">
        <v>1118</v>
      </c>
      <c r="M53" s="363">
        <v>16984</v>
      </c>
      <c r="N53" s="363">
        <v>12353</v>
      </c>
      <c r="O53" s="363">
        <v>143</v>
      </c>
      <c r="P53" s="363">
        <v>170</v>
      </c>
      <c r="Q53" s="363">
        <v>247</v>
      </c>
      <c r="R53" s="363">
        <v>45</v>
      </c>
      <c r="S53" s="363">
        <v>786</v>
      </c>
      <c r="U53" s="363">
        <v>1050</v>
      </c>
      <c r="V53" s="363">
        <v>0</v>
      </c>
      <c r="W53" s="363">
        <v>0</v>
      </c>
      <c r="X53" s="363">
        <v>-264</v>
      </c>
      <c r="Y53" s="363">
        <v>31</v>
      </c>
      <c r="Z53" s="363">
        <v>0</v>
      </c>
      <c r="AA53" s="363">
        <v>0</v>
      </c>
      <c r="AB53" s="363">
        <v>-233</v>
      </c>
      <c r="AD53" s="363">
        <v>4624</v>
      </c>
      <c r="AG53" s="363">
        <v>-5221</v>
      </c>
      <c r="AH53" s="349"/>
      <c r="AJ53" s="363">
        <v>11085</v>
      </c>
      <c r="AL53" s="363">
        <v>22790</v>
      </c>
      <c r="AN53" s="349"/>
      <c r="AO53" s="454">
        <v>4689</v>
      </c>
      <c r="AP53" s="478">
        <v>21.25</v>
      </c>
      <c r="AQ53" s="213"/>
      <c r="AS53" s="509">
        <v>4154</v>
      </c>
      <c r="AT53" s="349">
        <v>32700</v>
      </c>
      <c r="AU53" s="480">
        <v>-28546</v>
      </c>
      <c r="AV53" s="199">
        <v>15027</v>
      </c>
      <c r="AW53" s="199">
        <v>1736</v>
      </c>
      <c r="AX53" s="199">
        <v>1007</v>
      </c>
      <c r="AY53" s="199">
        <v>17770</v>
      </c>
      <c r="AZ53" s="199">
        <v>13852</v>
      </c>
      <c r="BA53" s="181">
        <v>98</v>
      </c>
      <c r="BB53" s="511">
        <v>157</v>
      </c>
      <c r="BC53" s="181">
        <v>180</v>
      </c>
      <c r="BD53" s="181">
        <v>99</v>
      </c>
      <c r="BE53" s="199">
        <v>3098</v>
      </c>
      <c r="BG53" s="183">
        <v>1151</v>
      </c>
      <c r="BH53" s="183">
        <v>0</v>
      </c>
      <c r="BI53" s="199">
        <v>0</v>
      </c>
      <c r="BJ53" s="199">
        <v>1947</v>
      </c>
      <c r="BK53" s="199">
        <v>31</v>
      </c>
      <c r="BL53" s="199">
        <v>0</v>
      </c>
      <c r="BM53" s="183">
        <v>0</v>
      </c>
      <c r="BN53" s="199">
        <v>1978</v>
      </c>
      <c r="BP53" s="199">
        <v>6601</v>
      </c>
      <c r="BS53" s="211"/>
      <c r="BV53" s="514">
        <v>14129</v>
      </c>
      <c r="BX53" s="181">
        <v>22769</v>
      </c>
      <c r="BZ53" s="349"/>
      <c r="CB53" s="340"/>
      <c r="CC53" s="488">
        <v>21.25</v>
      </c>
      <c r="CD53" s="378"/>
      <c r="CE53" s="378"/>
      <c r="CF53" s="195"/>
      <c r="CG53" s="349"/>
      <c r="CI53" s="181">
        <v>11121</v>
      </c>
      <c r="CJ53" s="183">
        <v>0</v>
      </c>
      <c r="CK53" s="421">
        <v>13035.360571694288</v>
      </c>
      <c r="CL53" s="494">
        <v>12979.491337554809</v>
      </c>
      <c r="CM53" s="483">
        <v>3185.9923717292872</v>
      </c>
      <c r="CN53" s="483">
        <v>2797.6626459312502</v>
      </c>
      <c r="CO53" s="483">
        <v>2525.9965871476334</v>
      </c>
      <c r="CP53" s="433">
        <f t="shared" si="0"/>
        <v>-682.3605716942875</v>
      </c>
      <c r="CQ53" s="212"/>
      <c r="CR53" s="212">
        <v>-82</v>
      </c>
      <c r="CS53" s="212">
        <v>-1107</v>
      </c>
      <c r="CT53" s="183">
        <v>54</v>
      </c>
      <c r="CU53" s="183">
        <v>285</v>
      </c>
      <c r="CV53" s="485">
        <v>-5</v>
      </c>
      <c r="CX53" s="422"/>
      <c r="CY53" s="475"/>
      <c r="CZ53" s="450"/>
      <c r="DA53" s="394"/>
      <c r="DB53" s="394"/>
      <c r="DC53" s="347"/>
      <c r="DD53" s="394"/>
      <c r="DE53" s="394"/>
      <c r="DF53" s="394"/>
      <c r="DG53" s="394"/>
      <c r="DH53" s="394"/>
    </row>
    <row r="54" spans="1:112" x14ac:dyDescent="0.25">
      <c r="A54" s="179">
        <v>172</v>
      </c>
      <c r="B54" s="181" t="s">
        <v>89</v>
      </c>
      <c r="C54" s="373">
        <v>4377</v>
      </c>
      <c r="D54" s="360">
        <v>21</v>
      </c>
      <c r="E54" s="213"/>
      <c r="G54" s="363">
        <v>4587</v>
      </c>
      <c r="H54" s="363">
        <v>34675</v>
      </c>
      <c r="I54" s="349"/>
      <c r="J54" s="363">
        <v>12176</v>
      </c>
      <c r="K54" s="363">
        <v>1618</v>
      </c>
      <c r="L54" s="363">
        <v>1776</v>
      </c>
      <c r="M54" s="363">
        <v>15570</v>
      </c>
      <c r="N54" s="363">
        <v>15185</v>
      </c>
      <c r="O54" s="363">
        <v>4</v>
      </c>
      <c r="P54" s="363">
        <v>67</v>
      </c>
      <c r="Q54" s="363">
        <v>190</v>
      </c>
      <c r="R54" s="363">
        <v>13</v>
      </c>
      <c r="S54" s="363">
        <v>781</v>
      </c>
      <c r="U54" s="363">
        <v>1380</v>
      </c>
      <c r="V54" s="363">
        <v>0</v>
      </c>
      <c r="W54" s="363">
        <v>0</v>
      </c>
      <c r="X54" s="363">
        <v>-599</v>
      </c>
      <c r="Y54" s="363">
        <v>17</v>
      </c>
      <c r="Z54" s="363">
        <v>0</v>
      </c>
      <c r="AA54" s="363">
        <v>0</v>
      </c>
      <c r="AB54" s="363">
        <v>-582</v>
      </c>
      <c r="AD54" s="363">
        <v>3259</v>
      </c>
      <c r="AG54" s="363">
        <v>-1896</v>
      </c>
      <c r="AH54" s="349"/>
      <c r="AJ54" s="363">
        <v>110</v>
      </c>
      <c r="AL54" s="363">
        <v>12488</v>
      </c>
      <c r="AN54" s="349"/>
      <c r="AO54" s="454">
        <v>4297</v>
      </c>
      <c r="AP54" s="478">
        <v>21</v>
      </c>
      <c r="AQ54" s="213"/>
      <c r="AS54" s="509">
        <v>4689</v>
      </c>
      <c r="AT54" s="349">
        <v>35741</v>
      </c>
      <c r="AU54" s="480">
        <v>-31052</v>
      </c>
      <c r="AV54" s="199">
        <v>11730</v>
      </c>
      <c r="AW54" s="199">
        <v>1766</v>
      </c>
      <c r="AX54" s="199">
        <v>1566</v>
      </c>
      <c r="AY54" s="199">
        <v>15062</v>
      </c>
      <c r="AZ54" s="199">
        <v>16480</v>
      </c>
      <c r="BA54" s="181">
        <v>27</v>
      </c>
      <c r="BB54" s="511">
        <v>64</v>
      </c>
      <c r="BC54" s="181">
        <v>207</v>
      </c>
      <c r="BD54" s="181">
        <v>14</v>
      </c>
      <c r="BE54" s="199">
        <v>646</v>
      </c>
      <c r="BG54" s="183">
        <v>1107</v>
      </c>
      <c r="BH54" s="199">
        <v>0</v>
      </c>
      <c r="BI54" s="199">
        <v>70</v>
      </c>
      <c r="BJ54" s="199">
        <v>-531</v>
      </c>
      <c r="BK54" s="199">
        <v>6</v>
      </c>
      <c r="BL54" s="183">
        <v>0</v>
      </c>
      <c r="BM54" s="199">
        <v>0</v>
      </c>
      <c r="BN54" s="199">
        <v>-525</v>
      </c>
      <c r="BP54" s="199">
        <v>2734</v>
      </c>
      <c r="BS54" s="211"/>
      <c r="BV54" s="514">
        <v>737</v>
      </c>
      <c r="BX54" s="181">
        <v>16604</v>
      </c>
      <c r="BZ54" s="349"/>
      <c r="CB54" s="340"/>
      <c r="CC54" s="488">
        <v>21</v>
      </c>
      <c r="CD54" s="378"/>
      <c r="CE54" s="378"/>
      <c r="CF54" s="195"/>
      <c r="CG54" s="349"/>
      <c r="CI54" s="181">
        <v>13247</v>
      </c>
      <c r="CJ54" s="183">
        <v>0</v>
      </c>
      <c r="CK54" s="421">
        <v>16398.264738266629</v>
      </c>
      <c r="CL54" s="494">
        <v>16921.009297982117</v>
      </c>
      <c r="CM54" s="483">
        <v>764.2963724717772</v>
      </c>
      <c r="CN54" s="483">
        <v>786.7041809980235</v>
      </c>
      <c r="CO54" s="483">
        <v>760.95119253280984</v>
      </c>
      <c r="CP54" s="433">
        <f t="shared" si="0"/>
        <v>-1213.2647382666291</v>
      </c>
      <c r="CQ54" s="212"/>
      <c r="CR54" s="212">
        <v>-4</v>
      </c>
      <c r="CS54" s="212">
        <v>-4193</v>
      </c>
      <c r="CT54" s="183">
        <v>0</v>
      </c>
      <c r="CU54" s="183">
        <v>12</v>
      </c>
      <c r="CV54" s="485">
        <v>76</v>
      </c>
      <c r="CX54" s="422"/>
      <c r="CY54" s="475"/>
      <c r="CZ54" s="450"/>
      <c r="DA54" s="394"/>
      <c r="DB54" s="394"/>
      <c r="DC54" s="347"/>
      <c r="DD54" s="394"/>
      <c r="DE54" s="394"/>
      <c r="DF54" s="394"/>
      <c r="DG54" s="394"/>
      <c r="DH54" s="394"/>
    </row>
    <row r="55" spans="1:112" ht="12.5" x14ac:dyDescent="0.25">
      <c r="A55" s="179">
        <v>176</v>
      </c>
      <c r="B55" s="181" t="s">
        <v>90</v>
      </c>
      <c r="C55" s="373">
        <v>4606</v>
      </c>
      <c r="D55" s="360">
        <v>20.75</v>
      </c>
      <c r="E55" s="213"/>
      <c r="G55" s="363">
        <v>6003</v>
      </c>
      <c r="H55" s="363">
        <v>38879</v>
      </c>
      <c r="I55" s="349"/>
      <c r="J55" s="363">
        <v>10964</v>
      </c>
      <c r="K55" s="363">
        <v>1703</v>
      </c>
      <c r="L55" s="363">
        <v>1210</v>
      </c>
      <c r="M55" s="363">
        <v>13877</v>
      </c>
      <c r="N55" s="363">
        <v>20319</v>
      </c>
      <c r="O55" s="363">
        <v>42</v>
      </c>
      <c r="P55" s="363">
        <v>23</v>
      </c>
      <c r="Q55" s="363">
        <v>461</v>
      </c>
      <c r="R55" s="363">
        <v>1</v>
      </c>
      <c r="S55" s="363">
        <v>1799</v>
      </c>
      <c r="U55" s="363">
        <v>1824</v>
      </c>
      <c r="V55" s="363">
        <v>0</v>
      </c>
      <c r="W55" s="363">
        <v>165</v>
      </c>
      <c r="X55" s="363">
        <v>-190</v>
      </c>
      <c r="Y55" s="363">
        <v>-967</v>
      </c>
      <c r="Z55" s="363">
        <v>1221</v>
      </c>
      <c r="AA55" s="363">
        <v>0</v>
      </c>
      <c r="AB55" s="363">
        <v>64</v>
      </c>
      <c r="AD55" s="363">
        <v>10263</v>
      </c>
      <c r="AG55" s="363">
        <v>-1686</v>
      </c>
      <c r="AH55" s="349"/>
      <c r="AJ55" s="363">
        <v>5373</v>
      </c>
      <c r="AL55" s="363">
        <v>3214</v>
      </c>
      <c r="AN55" s="349"/>
      <c r="AO55" s="454">
        <v>4527</v>
      </c>
      <c r="AP55" s="478">
        <v>20.75</v>
      </c>
      <c r="AQ55" s="213"/>
      <c r="AS55" s="509">
        <v>6003</v>
      </c>
      <c r="AT55" s="349">
        <v>38729</v>
      </c>
      <c r="AU55" s="480">
        <v>-32726</v>
      </c>
      <c r="AV55" s="199">
        <v>10958</v>
      </c>
      <c r="AW55" s="199">
        <v>1933</v>
      </c>
      <c r="AX55" s="199">
        <v>1130</v>
      </c>
      <c r="AY55" s="199">
        <v>14021</v>
      </c>
      <c r="AZ55" s="199">
        <v>21659</v>
      </c>
      <c r="BA55" s="181">
        <v>44</v>
      </c>
      <c r="BB55" s="512">
        <v>19</v>
      </c>
      <c r="BC55" s="181">
        <v>405</v>
      </c>
      <c r="BD55" s="181">
        <v>1</v>
      </c>
      <c r="BE55" s="199">
        <v>3383</v>
      </c>
      <c r="BG55" s="183">
        <v>2736</v>
      </c>
      <c r="BH55" s="183">
        <v>0</v>
      </c>
      <c r="BI55" s="199">
        <v>0</v>
      </c>
      <c r="BJ55" s="199">
        <v>647</v>
      </c>
      <c r="BK55" s="199">
        <v>884</v>
      </c>
      <c r="BL55" s="199">
        <v>-839</v>
      </c>
      <c r="BM55" s="183">
        <v>0</v>
      </c>
      <c r="BN55" s="199">
        <v>692</v>
      </c>
      <c r="BP55" s="199">
        <v>10957</v>
      </c>
      <c r="BS55" s="211"/>
      <c r="BV55" s="514">
        <v>6203</v>
      </c>
      <c r="BX55" s="181">
        <v>5500</v>
      </c>
      <c r="BZ55" s="349"/>
      <c r="CB55" s="340"/>
      <c r="CC55" s="488">
        <v>20.75</v>
      </c>
      <c r="CD55" s="378"/>
      <c r="CE55" s="378"/>
      <c r="CF55" s="195"/>
      <c r="CG55" s="349"/>
      <c r="CI55" s="181">
        <v>18170</v>
      </c>
      <c r="CJ55" s="183">
        <v>0</v>
      </c>
      <c r="CK55" s="421">
        <v>20863.835142089887</v>
      </c>
      <c r="CL55" s="494">
        <v>21542.743281120427</v>
      </c>
      <c r="CM55" s="483">
        <v>2177.0985325550673</v>
      </c>
      <c r="CN55" s="483">
        <v>2248.3155543337466</v>
      </c>
      <c r="CO55" s="483">
        <v>2092.2025019238549</v>
      </c>
      <c r="CP55" s="433">
        <f t="shared" si="0"/>
        <v>-544.83514208988709</v>
      </c>
      <c r="CQ55" s="212"/>
      <c r="CR55" s="212">
        <v>449</v>
      </c>
      <c r="CS55" s="212">
        <v>-5288</v>
      </c>
      <c r="CT55" s="183">
        <v>0</v>
      </c>
      <c r="CU55" s="183">
        <v>31</v>
      </c>
      <c r="CV55" s="485">
        <v>19</v>
      </c>
      <c r="CX55" s="422"/>
      <c r="CY55" s="475"/>
      <c r="CZ55" s="450"/>
      <c r="DA55" s="394"/>
      <c r="DB55" s="394"/>
      <c r="DC55" s="347"/>
      <c r="DD55" s="394"/>
      <c r="DE55" s="394"/>
      <c r="DF55" s="394"/>
      <c r="DG55" s="394"/>
      <c r="DH55" s="394"/>
    </row>
    <row r="56" spans="1:112" x14ac:dyDescent="0.25">
      <c r="A56" s="179">
        <v>177</v>
      </c>
      <c r="B56" s="181" t="s">
        <v>91</v>
      </c>
      <c r="C56" s="373">
        <v>1844</v>
      </c>
      <c r="D56" s="360">
        <v>21</v>
      </c>
      <c r="E56" s="213"/>
      <c r="G56" s="363">
        <v>1297</v>
      </c>
      <c r="H56" s="363">
        <v>12059</v>
      </c>
      <c r="I56" s="349"/>
      <c r="J56" s="363">
        <v>5542</v>
      </c>
      <c r="K56" s="363">
        <v>1114</v>
      </c>
      <c r="L56" s="363">
        <v>503</v>
      </c>
      <c r="M56" s="363">
        <v>7159</v>
      </c>
      <c r="N56" s="363">
        <v>4413</v>
      </c>
      <c r="O56" s="363">
        <v>0</v>
      </c>
      <c r="P56" s="363">
        <v>32</v>
      </c>
      <c r="Q56" s="363">
        <v>71</v>
      </c>
      <c r="R56" s="363">
        <v>50</v>
      </c>
      <c r="S56" s="363">
        <v>799</v>
      </c>
      <c r="U56" s="363">
        <v>517</v>
      </c>
      <c r="V56" s="363">
        <v>0</v>
      </c>
      <c r="W56" s="363">
        <v>0</v>
      </c>
      <c r="X56" s="363">
        <v>282</v>
      </c>
      <c r="Y56" s="363">
        <v>10</v>
      </c>
      <c r="Z56" s="363">
        <v>0</v>
      </c>
      <c r="AA56" s="363">
        <v>0</v>
      </c>
      <c r="AB56" s="363">
        <v>292</v>
      </c>
      <c r="AD56" s="363">
        <v>2419</v>
      </c>
      <c r="AG56" s="363">
        <v>-711</v>
      </c>
      <c r="AH56" s="349"/>
      <c r="AJ56" s="363">
        <v>693</v>
      </c>
      <c r="AL56" s="363">
        <v>3210</v>
      </c>
      <c r="AN56" s="349"/>
      <c r="AO56" s="454">
        <v>1800</v>
      </c>
      <c r="AP56" s="478">
        <v>21</v>
      </c>
      <c r="AQ56" s="213"/>
      <c r="AS56" s="509">
        <v>1401</v>
      </c>
      <c r="AT56" s="349">
        <v>12362</v>
      </c>
      <c r="AU56" s="480">
        <v>-10961</v>
      </c>
      <c r="AV56" s="199">
        <v>5452</v>
      </c>
      <c r="AW56" s="199">
        <v>1196</v>
      </c>
      <c r="AX56" s="199">
        <v>487</v>
      </c>
      <c r="AY56" s="199">
        <v>7135</v>
      </c>
      <c r="AZ56" s="199">
        <v>4977</v>
      </c>
      <c r="BA56" s="181">
        <v>0</v>
      </c>
      <c r="BB56" s="511">
        <v>31</v>
      </c>
      <c r="BC56" s="181">
        <v>75</v>
      </c>
      <c r="BD56" s="181">
        <v>9</v>
      </c>
      <c r="BE56" s="199">
        <v>1186</v>
      </c>
      <c r="BG56" s="183">
        <v>967</v>
      </c>
      <c r="BH56" s="199">
        <v>0</v>
      </c>
      <c r="BI56" s="183">
        <v>0</v>
      </c>
      <c r="BJ56" s="199">
        <v>219</v>
      </c>
      <c r="BK56" s="199">
        <v>11</v>
      </c>
      <c r="BL56" s="183">
        <v>0</v>
      </c>
      <c r="BM56" s="183">
        <v>0</v>
      </c>
      <c r="BN56" s="199">
        <v>230</v>
      </c>
      <c r="BP56" s="199">
        <v>2651</v>
      </c>
      <c r="BS56" s="211"/>
      <c r="BV56" s="514">
        <v>1650</v>
      </c>
      <c r="BX56" s="181">
        <v>3197</v>
      </c>
      <c r="BZ56" s="349"/>
      <c r="CB56" s="340"/>
      <c r="CC56" s="488">
        <v>21</v>
      </c>
      <c r="CD56" s="378"/>
      <c r="CE56" s="378"/>
      <c r="CF56" s="195"/>
      <c r="CG56" s="349"/>
      <c r="CI56" s="181">
        <v>4454</v>
      </c>
      <c r="CJ56" s="183">
        <v>0</v>
      </c>
      <c r="CK56" s="421">
        <v>4617.8431361246094</v>
      </c>
      <c r="CL56" s="494">
        <v>4771.6650857935674</v>
      </c>
      <c r="CM56" s="483">
        <v>825.16757998207322</v>
      </c>
      <c r="CN56" s="483">
        <v>971.13908040289039</v>
      </c>
      <c r="CO56" s="483">
        <v>945.48644887654928</v>
      </c>
      <c r="CP56" s="433">
        <f t="shared" si="0"/>
        <v>-204.84313612460937</v>
      </c>
      <c r="CQ56" s="212"/>
      <c r="CR56" s="212">
        <v>0</v>
      </c>
      <c r="CS56" s="212">
        <v>-193</v>
      </c>
      <c r="CT56" s="183">
        <v>0</v>
      </c>
      <c r="CU56" s="183">
        <v>0</v>
      </c>
      <c r="CV56" s="485">
        <v>4</v>
      </c>
      <c r="CX56" s="422"/>
      <c r="CY56" s="475"/>
      <c r="CZ56" s="450"/>
      <c r="DA56" s="394"/>
      <c r="DB56" s="394"/>
      <c r="DC56" s="347"/>
      <c r="DD56" s="394"/>
      <c r="DE56" s="394"/>
      <c r="DF56" s="394"/>
      <c r="DG56" s="394"/>
      <c r="DH56" s="394"/>
    </row>
    <row r="57" spans="1:112" x14ac:dyDescent="0.25">
      <c r="A57" s="179">
        <v>178</v>
      </c>
      <c r="B57" s="181" t="s">
        <v>92</v>
      </c>
      <c r="C57" s="373">
        <v>6116</v>
      </c>
      <c r="D57" s="360">
        <v>20.75</v>
      </c>
      <c r="E57" s="213"/>
      <c r="G57" s="363">
        <v>4440</v>
      </c>
      <c r="H57" s="363">
        <v>44986</v>
      </c>
      <c r="I57" s="349"/>
      <c r="J57" s="363">
        <v>15734</v>
      </c>
      <c r="K57" s="363">
        <v>2553</v>
      </c>
      <c r="L57" s="363">
        <v>1526</v>
      </c>
      <c r="M57" s="363">
        <v>19813</v>
      </c>
      <c r="N57" s="363">
        <v>21196</v>
      </c>
      <c r="O57" s="363">
        <v>1</v>
      </c>
      <c r="P57" s="363">
        <v>91</v>
      </c>
      <c r="Q57" s="363">
        <v>669</v>
      </c>
      <c r="R57" s="363">
        <v>7</v>
      </c>
      <c r="S57" s="363">
        <v>1035</v>
      </c>
      <c r="U57" s="363">
        <v>1811</v>
      </c>
      <c r="V57" s="363">
        <v>12</v>
      </c>
      <c r="W57" s="363">
        <v>0</v>
      </c>
      <c r="X57" s="363">
        <v>-764</v>
      </c>
      <c r="Y57" s="363">
        <v>-461</v>
      </c>
      <c r="Z57" s="363">
        <v>475</v>
      </c>
      <c r="AA57" s="363">
        <v>0</v>
      </c>
      <c r="AB57" s="363">
        <v>-750</v>
      </c>
      <c r="AD57" s="363">
        <v>4330</v>
      </c>
      <c r="AG57" s="363">
        <v>-2848</v>
      </c>
      <c r="AH57" s="349"/>
      <c r="AJ57" s="363">
        <v>849</v>
      </c>
      <c r="AL57" s="363">
        <v>20587</v>
      </c>
      <c r="AN57" s="349"/>
      <c r="AO57" s="454">
        <v>5932</v>
      </c>
      <c r="AP57" s="478">
        <v>20.75</v>
      </c>
      <c r="AQ57" s="213"/>
      <c r="AS57" s="509">
        <v>4466</v>
      </c>
      <c r="AT57" s="349">
        <v>44690</v>
      </c>
      <c r="AU57" s="480">
        <v>-40224</v>
      </c>
      <c r="AV57" s="199">
        <v>15868</v>
      </c>
      <c r="AW57" s="199">
        <v>2957</v>
      </c>
      <c r="AX57" s="199">
        <v>1392</v>
      </c>
      <c r="AY57" s="199">
        <v>20217</v>
      </c>
      <c r="AZ57" s="199">
        <v>24634</v>
      </c>
      <c r="BA57" s="181">
        <v>1</v>
      </c>
      <c r="BB57" s="511">
        <v>73</v>
      </c>
      <c r="BC57" s="181">
        <v>782</v>
      </c>
      <c r="BD57" s="181">
        <v>26</v>
      </c>
      <c r="BE57" s="199">
        <v>5311</v>
      </c>
      <c r="BG57" s="183">
        <v>4703</v>
      </c>
      <c r="BH57" s="199">
        <v>0</v>
      </c>
      <c r="BI57" s="199">
        <v>0</v>
      </c>
      <c r="BJ57" s="199">
        <v>608</v>
      </c>
      <c r="BK57" s="199">
        <v>143</v>
      </c>
      <c r="BL57" s="183">
        <v>0</v>
      </c>
      <c r="BM57" s="183">
        <v>0</v>
      </c>
      <c r="BN57" s="199">
        <v>751</v>
      </c>
      <c r="BP57" s="199">
        <v>5081</v>
      </c>
      <c r="BS57" s="211"/>
      <c r="BV57" s="514">
        <v>3046</v>
      </c>
      <c r="BX57" s="181">
        <v>21442</v>
      </c>
      <c r="BZ57" s="349"/>
      <c r="CB57" s="340"/>
      <c r="CC57" s="488">
        <v>20.75</v>
      </c>
      <c r="CD57" s="378"/>
      <c r="CE57" s="378"/>
      <c r="CF57" s="195"/>
      <c r="CG57" s="349"/>
      <c r="CI57" s="181">
        <v>16771</v>
      </c>
      <c r="CJ57" s="183">
        <v>0</v>
      </c>
      <c r="CK57" s="421">
        <v>23514.41714999378</v>
      </c>
      <c r="CL57" s="494">
        <v>23966.559232117055</v>
      </c>
      <c r="CM57" s="483">
        <v>5152.2794760585184</v>
      </c>
      <c r="CN57" s="483">
        <v>5307.9670902095859</v>
      </c>
      <c r="CO57" s="483">
        <v>4885.1099589323103</v>
      </c>
      <c r="CP57" s="433">
        <f t="shared" si="0"/>
        <v>-2318.4171499937802</v>
      </c>
      <c r="CQ57" s="212"/>
      <c r="CR57" s="212">
        <v>232</v>
      </c>
      <c r="CS57" s="212">
        <v>-4308</v>
      </c>
      <c r="CT57" s="183">
        <v>525</v>
      </c>
      <c r="CU57" s="183">
        <v>72</v>
      </c>
      <c r="CV57" s="485">
        <v>0</v>
      </c>
      <c r="CX57" s="422"/>
      <c r="CY57" s="475"/>
      <c r="CZ57" s="450"/>
      <c r="DA57" s="394"/>
      <c r="DB57" s="394"/>
      <c r="DC57" s="347"/>
      <c r="DD57" s="394"/>
      <c r="DE57" s="394"/>
      <c r="DF57" s="394"/>
      <c r="DG57" s="394"/>
      <c r="DH57" s="394"/>
    </row>
    <row r="58" spans="1:112" x14ac:dyDescent="0.25">
      <c r="A58" s="179">
        <v>179</v>
      </c>
      <c r="B58" s="181" t="s">
        <v>93</v>
      </c>
      <c r="C58" s="373">
        <v>142400</v>
      </c>
      <c r="D58" s="360">
        <v>20</v>
      </c>
      <c r="E58" s="213"/>
      <c r="G58" s="363">
        <v>168753</v>
      </c>
      <c r="H58" s="363">
        <v>855710</v>
      </c>
      <c r="I58" s="349"/>
      <c r="J58" s="363">
        <v>448187</v>
      </c>
      <c r="K58" s="363">
        <v>26652</v>
      </c>
      <c r="L58" s="363">
        <v>49365</v>
      </c>
      <c r="M58" s="363">
        <v>524204</v>
      </c>
      <c r="N58" s="363">
        <v>173607</v>
      </c>
      <c r="O58" s="363">
        <v>9019</v>
      </c>
      <c r="P58" s="363">
        <v>5388</v>
      </c>
      <c r="Q58" s="363">
        <v>7779</v>
      </c>
      <c r="R58" s="363">
        <v>57</v>
      </c>
      <c r="S58" s="363">
        <v>22207</v>
      </c>
      <c r="U58" s="363">
        <v>53776</v>
      </c>
      <c r="V58" s="363">
        <v>0</v>
      </c>
      <c r="W58" s="363">
        <v>0</v>
      </c>
      <c r="X58" s="363">
        <v>-31569</v>
      </c>
      <c r="Y58" s="363">
        <v>340</v>
      </c>
      <c r="Z58" s="363">
        <v>0</v>
      </c>
      <c r="AA58" s="363">
        <v>75</v>
      </c>
      <c r="AB58" s="363">
        <v>-31154</v>
      </c>
      <c r="AD58" s="363">
        <v>19856</v>
      </c>
      <c r="AG58" s="363">
        <v>-55153</v>
      </c>
      <c r="AH58" s="349"/>
      <c r="AJ58" s="363">
        <v>2450</v>
      </c>
      <c r="AL58" s="363">
        <v>407036</v>
      </c>
      <c r="AN58" s="349"/>
      <c r="AO58" s="454">
        <v>143420</v>
      </c>
      <c r="AP58" s="478">
        <v>20</v>
      </c>
      <c r="AQ58" s="213"/>
      <c r="AS58" s="509">
        <v>159297</v>
      </c>
      <c r="AT58" s="349">
        <v>878285</v>
      </c>
      <c r="AU58" s="480">
        <v>-718988</v>
      </c>
      <c r="AV58" s="199">
        <v>472627</v>
      </c>
      <c r="AW58" s="199">
        <v>29183</v>
      </c>
      <c r="AX58" s="199">
        <v>47316</v>
      </c>
      <c r="AY58" s="199">
        <v>549126</v>
      </c>
      <c r="AZ58" s="199">
        <v>230220</v>
      </c>
      <c r="BA58" s="181">
        <v>9050</v>
      </c>
      <c r="BB58" s="511">
        <v>5496</v>
      </c>
      <c r="BC58" s="181">
        <v>7919</v>
      </c>
      <c r="BD58" s="181">
        <v>31</v>
      </c>
      <c r="BE58" s="199">
        <v>71800</v>
      </c>
      <c r="BG58" s="183">
        <v>55716</v>
      </c>
      <c r="BH58" s="199">
        <v>0</v>
      </c>
      <c r="BI58" s="183">
        <v>0</v>
      </c>
      <c r="BJ58" s="199">
        <v>16084</v>
      </c>
      <c r="BK58" s="199">
        <v>340</v>
      </c>
      <c r="BL58" s="183">
        <v>0</v>
      </c>
      <c r="BM58" s="199">
        <v>-16</v>
      </c>
      <c r="BN58" s="199">
        <v>16408</v>
      </c>
      <c r="BP58" s="199">
        <v>36040</v>
      </c>
      <c r="BS58" s="211"/>
      <c r="BV58" s="514">
        <v>517</v>
      </c>
      <c r="BX58" s="181">
        <v>382892</v>
      </c>
      <c r="BZ58" s="349"/>
      <c r="CB58" s="340"/>
      <c r="CC58" s="488">
        <v>20</v>
      </c>
      <c r="CD58" s="378"/>
      <c r="CE58" s="378"/>
      <c r="CF58" s="195"/>
      <c r="CG58" s="349"/>
      <c r="CI58" s="181">
        <v>132908</v>
      </c>
      <c r="CJ58" s="183">
        <v>0</v>
      </c>
      <c r="CK58" s="421">
        <v>209974.0413977626</v>
      </c>
      <c r="CL58" s="494">
        <v>227850.30303054448</v>
      </c>
      <c r="CM58" s="483">
        <v>51551.608107815991</v>
      </c>
      <c r="CN58" s="483">
        <v>51191.923474102339</v>
      </c>
      <c r="CO58" s="483">
        <v>53827.017841155015</v>
      </c>
      <c r="CP58" s="433">
        <f t="shared" si="0"/>
        <v>-36367.041397762601</v>
      </c>
      <c r="CQ58" s="212"/>
      <c r="CR58" s="212">
        <v>-7652</v>
      </c>
      <c r="CS58" s="212">
        <v>-64563</v>
      </c>
      <c r="CT58" s="183">
        <v>594</v>
      </c>
      <c r="CU58" s="183">
        <v>9870</v>
      </c>
      <c r="CV58" s="485">
        <v>473</v>
      </c>
      <c r="CX58" s="422"/>
      <c r="CY58" s="475"/>
      <c r="CZ58" s="450"/>
      <c r="DA58" s="394"/>
      <c r="DB58" s="394"/>
      <c r="DC58" s="347"/>
      <c r="DD58" s="394"/>
      <c r="DE58" s="394"/>
      <c r="DF58" s="394"/>
      <c r="DG58" s="394"/>
      <c r="DH58" s="394"/>
    </row>
    <row r="59" spans="1:112" x14ac:dyDescent="0.25">
      <c r="A59" s="179">
        <v>181</v>
      </c>
      <c r="B59" s="181" t="s">
        <v>94</v>
      </c>
      <c r="C59" s="373">
        <v>1739</v>
      </c>
      <c r="D59" s="360">
        <v>22.5</v>
      </c>
      <c r="E59" s="213"/>
      <c r="G59" s="363">
        <v>1184</v>
      </c>
      <c r="H59" s="363">
        <v>12056</v>
      </c>
      <c r="I59" s="349"/>
      <c r="J59" s="363">
        <v>5140</v>
      </c>
      <c r="K59" s="363">
        <v>286</v>
      </c>
      <c r="L59" s="363">
        <v>708</v>
      </c>
      <c r="M59" s="363">
        <v>6134</v>
      </c>
      <c r="N59" s="363">
        <v>5428</v>
      </c>
      <c r="O59" s="363">
        <v>0</v>
      </c>
      <c r="P59" s="363">
        <v>29</v>
      </c>
      <c r="Q59" s="363">
        <v>3</v>
      </c>
      <c r="R59" s="363">
        <v>4</v>
      </c>
      <c r="S59" s="363">
        <v>660</v>
      </c>
      <c r="U59" s="363">
        <v>361</v>
      </c>
      <c r="V59" s="363">
        <v>0</v>
      </c>
      <c r="W59" s="363">
        <v>0</v>
      </c>
      <c r="X59" s="363">
        <v>299</v>
      </c>
      <c r="Y59" s="363">
        <v>0</v>
      </c>
      <c r="Z59" s="363">
        <v>0</v>
      </c>
      <c r="AA59" s="363">
        <v>0</v>
      </c>
      <c r="AB59" s="363">
        <v>299</v>
      </c>
      <c r="AD59" s="363">
        <v>-838</v>
      </c>
      <c r="AG59" s="363">
        <v>386</v>
      </c>
      <c r="AH59" s="349"/>
      <c r="AJ59" s="363">
        <v>891</v>
      </c>
      <c r="AL59" s="363">
        <v>5259</v>
      </c>
      <c r="AN59" s="349"/>
      <c r="AO59" s="454">
        <v>1707</v>
      </c>
      <c r="AP59" s="478">
        <v>22.5</v>
      </c>
      <c r="AQ59" s="213"/>
      <c r="AS59" s="509">
        <v>539</v>
      </c>
      <c r="AT59" s="349">
        <v>11005</v>
      </c>
      <c r="AU59" s="480">
        <v>-10466</v>
      </c>
      <c r="AV59" s="199">
        <v>5108</v>
      </c>
      <c r="AW59" s="199">
        <v>306</v>
      </c>
      <c r="AX59" s="199">
        <v>660</v>
      </c>
      <c r="AY59" s="199">
        <v>6074</v>
      </c>
      <c r="AZ59" s="199">
        <v>5776</v>
      </c>
      <c r="BA59" s="181">
        <v>0</v>
      </c>
      <c r="BB59" s="511">
        <v>24</v>
      </c>
      <c r="BC59" s="181">
        <v>4</v>
      </c>
      <c r="BD59" s="181">
        <v>3</v>
      </c>
      <c r="BE59" s="199">
        <v>1361</v>
      </c>
      <c r="BG59" s="183">
        <v>343</v>
      </c>
      <c r="BH59" s="183">
        <v>0</v>
      </c>
      <c r="BI59" s="183">
        <v>0</v>
      </c>
      <c r="BJ59" s="199">
        <v>1018</v>
      </c>
      <c r="BK59" s="183">
        <v>0</v>
      </c>
      <c r="BL59" s="183">
        <v>0</v>
      </c>
      <c r="BM59" s="183">
        <v>0</v>
      </c>
      <c r="BN59" s="199">
        <v>1018</v>
      </c>
      <c r="BP59" s="199">
        <v>181</v>
      </c>
      <c r="BS59" s="211"/>
      <c r="BV59" s="514">
        <v>840</v>
      </c>
      <c r="BX59" s="181">
        <v>4909</v>
      </c>
      <c r="BZ59" s="349"/>
      <c r="CB59" s="340"/>
      <c r="CC59" s="488">
        <v>22.5</v>
      </c>
      <c r="CD59" s="378"/>
      <c r="CE59" s="378"/>
      <c r="CF59" s="195"/>
      <c r="CG59" s="349"/>
      <c r="CH59" s="347"/>
      <c r="CI59" s="181">
        <v>5561</v>
      </c>
      <c r="CJ59" s="183">
        <v>0</v>
      </c>
      <c r="CK59" s="421">
        <v>5462.6491900521605</v>
      </c>
      <c r="CL59" s="494">
        <v>5373.6401500448992</v>
      </c>
      <c r="CM59" s="483">
        <v>1420.2963738074384</v>
      </c>
      <c r="CN59" s="483">
        <v>1358.0571985232821</v>
      </c>
      <c r="CO59" s="483">
        <v>1295.1574825234579</v>
      </c>
      <c r="CP59" s="433">
        <f t="shared" si="0"/>
        <v>-34.64919005216052</v>
      </c>
      <c r="CQ59" s="212"/>
      <c r="CR59" s="212">
        <v>-37</v>
      </c>
      <c r="CS59" s="212">
        <v>-238</v>
      </c>
      <c r="CT59" s="183">
        <v>8</v>
      </c>
      <c r="CU59" s="183">
        <v>0</v>
      </c>
      <c r="CV59" s="485">
        <v>14</v>
      </c>
      <c r="CX59" s="422"/>
      <c r="CY59" s="475"/>
      <c r="CZ59" s="450"/>
      <c r="DA59" s="394"/>
      <c r="DB59" s="394"/>
      <c r="DC59" s="347"/>
      <c r="DD59" s="394"/>
      <c r="DE59" s="394"/>
      <c r="DF59" s="394"/>
      <c r="DG59" s="394"/>
      <c r="DH59" s="394"/>
    </row>
    <row r="60" spans="1:112" x14ac:dyDescent="0.25">
      <c r="A60" s="179">
        <v>182</v>
      </c>
      <c r="B60" s="181" t="s">
        <v>95</v>
      </c>
      <c r="C60" s="373">
        <v>20182</v>
      </c>
      <c r="D60" s="360">
        <v>21</v>
      </c>
      <c r="E60" s="213"/>
      <c r="G60" s="363">
        <v>42815</v>
      </c>
      <c r="H60" s="363">
        <v>165470</v>
      </c>
      <c r="I60" s="349"/>
      <c r="J60" s="363">
        <v>69037</v>
      </c>
      <c r="K60" s="363">
        <v>9669</v>
      </c>
      <c r="L60" s="363">
        <v>6157</v>
      </c>
      <c r="M60" s="363">
        <v>84863</v>
      </c>
      <c r="N60" s="363">
        <v>42543</v>
      </c>
      <c r="O60" s="363">
        <v>46</v>
      </c>
      <c r="P60" s="363">
        <v>359</v>
      </c>
      <c r="Q60" s="363">
        <v>1059</v>
      </c>
      <c r="R60" s="363">
        <v>2</v>
      </c>
      <c r="S60" s="363">
        <v>5495</v>
      </c>
      <c r="U60" s="363">
        <v>8110</v>
      </c>
      <c r="V60" s="363">
        <v>0</v>
      </c>
      <c r="W60" s="363">
        <v>0</v>
      </c>
      <c r="X60" s="363">
        <v>-2615</v>
      </c>
      <c r="Y60" s="363">
        <v>247</v>
      </c>
      <c r="Z60" s="363">
        <v>0</v>
      </c>
      <c r="AA60" s="363">
        <v>0</v>
      </c>
      <c r="AB60" s="363">
        <v>-2368</v>
      </c>
      <c r="AD60" s="363">
        <v>-602</v>
      </c>
      <c r="AG60" s="363">
        <v>-7093</v>
      </c>
      <c r="AH60" s="349"/>
      <c r="AJ60" s="363">
        <v>6769</v>
      </c>
      <c r="AL60" s="363">
        <v>41217</v>
      </c>
      <c r="AN60" s="349"/>
      <c r="AO60" s="454">
        <v>19887</v>
      </c>
      <c r="AP60" s="478">
        <v>21</v>
      </c>
      <c r="AQ60" s="213"/>
      <c r="AS60" s="509">
        <v>41771</v>
      </c>
      <c r="AT60" s="349">
        <v>168593</v>
      </c>
      <c r="AU60" s="480">
        <v>-126822</v>
      </c>
      <c r="AV60" s="199">
        <v>70253</v>
      </c>
      <c r="AW60" s="199">
        <v>11485</v>
      </c>
      <c r="AX60" s="199">
        <v>5634</v>
      </c>
      <c r="AY60" s="199">
        <v>87372</v>
      </c>
      <c r="AZ60" s="199">
        <v>51097</v>
      </c>
      <c r="BA60" s="181">
        <v>41</v>
      </c>
      <c r="BB60" s="511">
        <v>305</v>
      </c>
      <c r="BC60" s="181">
        <v>1094</v>
      </c>
      <c r="BD60" s="181">
        <v>0</v>
      </c>
      <c r="BE60" s="199">
        <v>12477</v>
      </c>
      <c r="BG60" s="183">
        <v>8434</v>
      </c>
      <c r="BH60" s="183">
        <v>0</v>
      </c>
      <c r="BI60" s="183">
        <v>0</v>
      </c>
      <c r="BJ60" s="199">
        <v>4043</v>
      </c>
      <c r="BK60" s="199">
        <v>247</v>
      </c>
      <c r="BL60" s="199">
        <v>0</v>
      </c>
      <c r="BM60" s="183">
        <v>-75</v>
      </c>
      <c r="BN60" s="199">
        <v>4215</v>
      </c>
      <c r="BP60" s="199">
        <v>3613</v>
      </c>
      <c r="BS60" s="211"/>
      <c r="BV60" s="514">
        <v>16017</v>
      </c>
      <c r="BX60" s="181">
        <v>39912</v>
      </c>
      <c r="BZ60" s="349"/>
      <c r="CB60" s="340"/>
      <c r="CC60" s="488">
        <v>21</v>
      </c>
      <c r="CD60" s="378"/>
      <c r="CE60" s="378"/>
      <c r="CF60" s="195"/>
      <c r="CG60" s="349"/>
      <c r="CI60" s="181">
        <v>37820</v>
      </c>
      <c r="CJ60" s="183">
        <v>0</v>
      </c>
      <c r="CK60" s="421">
        <v>46774.260482822916</v>
      </c>
      <c r="CL60" s="494">
        <v>46830.809440915757</v>
      </c>
      <c r="CM60" s="483">
        <v>1889.4270415335122</v>
      </c>
      <c r="CN60" s="483">
        <v>1997.688853804942</v>
      </c>
      <c r="CO60" s="483">
        <v>988.77027431746183</v>
      </c>
      <c r="CP60" s="433">
        <f t="shared" si="0"/>
        <v>-4231.2604828229159</v>
      </c>
      <c r="CQ60" s="212"/>
      <c r="CR60" s="212">
        <v>-25</v>
      </c>
      <c r="CS60" s="212">
        <v>-7819</v>
      </c>
      <c r="CT60" s="183">
        <v>143</v>
      </c>
      <c r="CU60" s="183">
        <v>56</v>
      </c>
      <c r="CV60" s="485">
        <v>574</v>
      </c>
      <c r="CX60" s="422"/>
      <c r="CY60" s="475"/>
      <c r="CZ60" s="450"/>
      <c r="DA60" s="394"/>
      <c r="DB60" s="394"/>
      <c r="DC60" s="347"/>
      <c r="DD60" s="394"/>
      <c r="DE60" s="394"/>
      <c r="DF60" s="394"/>
      <c r="DG60" s="394"/>
      <c r="DH60" s="394"/>
    </row>
    <row r="61" spans="1:112" x14ac:dyDescent="0.25">
      <c r="A61" s="179">
        <v>186</v>
      </c>
      <c r="B61" s="181" t="s">
        <v>96</v>
      </c>
      <c r="C61" s="373">
        <v>43711</v>
      </c>
      <c r="D61" s="360">
        <v>19.75</v>
      </c>
      <c r="E61" s="213"/>
      <c r="G61" s="363">
        <v>52916</v>
      </c>
      <c r="H61" s="363">
        <v>285483</v>
      </c>
      <c r="I61" s="349"/>
      <c r="J61" s="363">
        <v>174569</v>
      </c>
      <c r="K61" s="363">
        <v>4677</v>
      </c>
      <c r="L61" s="363">
        <v>14596</v>
      </c>
      <c r="M61" s="363">
        <v>193842</v>
      </c>
      <c r="N61" s="363">
        <v>29139</v>
      </c>
      <c r="O61" s="363">
        <v>363</v>
      </c>
      <c r="P61" s="363">
        <v>168</v>
      </c>
      <c r="Q61" s="363">
        <v>2209</v>
      </c>
      <c r="R61" s="363">
        <v>1665</v>
      </c>
      <c r="S61" s="363">
        <v>-8847</v>
      </c>
      <c r="U61" s="363">
        <v>23684</v>
      </c>
      <c r="V61" s="363">
        <v>137</v>
      </c>
      <c r="W61" s="363">
        <v>0</v>
      </c>
      <c r="X61" s="363">
        <v>-32394</v>
      </c>
      <c r="Y61" s="363">
        <v>150</v>
      </c>
      <c r="Z61" s="363">
        <v>0</v>
      </c>
      <c r="AA61" s="363">
        <v>0</v>
      </c>
      <c r="AB61" s="363">
        <v>-32244</v>
      </c>
      <c r="AD61" s="363">
        <v>9677</v>
      </c>
      <c r="AG61" s="363">
        <v>-42695</v>
      </c>
      <c r="AH61" s="349"/>
      <c r="AJ61" s="363">
        <v>2464</v>
      </c>
      <c r="AL61" s="363">
        <v>191852</v>
      </c>
      <c r="AN61" s="349"/>
      <c r="AO61" s="454">
        <v>44455</v>
      </c>
      <c r="AP61" s="478">
        <v>19.75</v>
      </c>
      <c r="AQ61" s="213"/>
      <c r="AS61" s="509">
        <v>40762</v>
      </c>
      <c r="AT61" s="349">
        <v>270914</v>
      </c>
      <c r="AU61" s="480">
        <v>-230152</v>
      </c>
      <c r="AV61" s="199">
        <v>182979</v>
      </c>
      <c r="AW61" s="199">
        <v>4673</v>
      </c>
      <c r="AX61" s="199">
        <v>13798</v>
      </c>
      <c r="AY61" s="199">
        <v>201450</v>
      </c>
      <c r="AZ61" s="199">
        <v>50715</v>
      </c>
      <c r="BA61" s="181">
        <v>221</v>
      </c>
      <c r="BB61" s="511">
        <v>392</v>
      </c>
      <c r="BC61" s="181">
        <v>848</v>
      </c>
      <c r="BD61" s="181">
        <v>275</v>
      </c>
      <c r="BE61" s="199">
        <v>22415</v>
      </c>
      <c r="BG61" s="183">
        <v>21477</v>
      </c>
      <c r="BH61" s="199">
        <v>0</v>
      </c>
      <c r="BI61" s="183">
        <v>0</v>
      </c>
      <c r="BJ61" s="199">
        <v>938</v>
      </c>
      <c r="BK61" s="183">
        <v>133</v>
      </c>
      <c r="BL61" s="183">
        <v>0</v>
      </c>
      <c r="BM61" s="183">
        <v>0</v>
      </c>
      <c r="BN61" s="199">
        <v>1071</v>
      </c>
      <c r="BP61" s="199">
        <v>10747</v>
      </c>
      <c r="BS61" s="211"/>
      <c r="BV61" s="514">
        <v>20589</v>
      </c>
      <c r="BX61" s="181">
        <v>229575</v>
      </c>
      <c r="BZ61" s="349"/>
      <c r="CB61" s="340"/>
      <c r="CC61" s="488">
        <v>19.75</v>
      </c>
      <c r="CD61" s="378"/>
      <c r="CE61" s="378"/>
      <c r="CF61" s="195"/>
      <c r="CG61" s="349"/>
      <c r="CI61" s="181">
        <v>24104</v>
      </c>
      <c r="CJ61" s="183">
        <v>0</v>
      </c>
      <c r="CK61" s="421">
        <v>39880.061073213583</v>
      </c>
      <c r="CL61" s="494">
        <v>44165.509051474219</v>
      </c>
      <c r="CM61" s="483">
        <v>7450.9578597075797</v>
      </c>
      <c r="CN61" s="483">
        <v>9109.001368942756</v>
      </c>
      <c r="CO61" s="483">
        <v>12554.069123329493</v>
      </c>
      <c r="CP61" s="433">
        <f t="shared" si="0"/>
        <v>-10741.061073213583</v>
      </c>
      <c r="CQ61" s="212"/>
      <c r="CR61" s="212">
        <v>-9781</v>
      </c>
      <c r="CS61" s="212">
        <v>-37941</v>
      </c>
      <c r="CT61" s="183">
        <v>243</v>
      </c>
      <c r="CU61" s="183">
        <v>11377</v>
      </c>
      <c r="CV61" s="485">
        <v>0</v>
      </c>
      <c r="CX61" s="422"/>
      <c r="CY61" s="475"/>
      <c r="CZ61" s="450"/>
      <c r="DA61" s="394"/>
      <c r="DB61" s="394"/>
      <c r="DC61" s="347"/>
      <c r="DD61" s="394"/>
      <c r="DE61" s="394"/>
      <c r="DF61" s="394"/>
      <c r="DG61" s="394"/>
      <c r="DH61" s="394"/>
    </row>
    <row r="62" spans="1:112" x14ac:dyDescent="0.25">
      <c r="A62" s="179">
        <v>202</v>
      </c>
      <c r="B62" s="181" t="s">
        <v>97</v>
      </c>
      <c r="C62" s="373">
        <v>33937</v>
      </c>
      <c r="D62" s="360">
        <v>19.75</v>
      </c>
      <c r="E62" s="213"/>
      <c r="G62" s="363">
        <v>35464</v>
      </c>
      <c r="H62" s="363">
        <v>206974</v>
      </c>
      <c r="I62" s="349"/>
      <c r="J62" s="363">
        <v>132499</v>
      </c>
      <c r="K62" s="363">
        <v>5375</v>
      </c>
      <c r="L62" s="363">
        <v>7416</v>
      </c>
      <c r="M62" s="363">
        <v>145290</v>
      </c>
      <c r="N62" s="363">
        <v>28272</v>
      </c>
      <c r="O62" s="363">
        <v>125</v>
      </c>
      <c r="P62" s="363">
        <v>1547</v>
      </c>
      <c r="Q62" s="363">
        <v>1302</v>
      </c>
      <c r="R62" s="363">
        <v>8</v>
      </c>
      <c r="S62" s="363">
        <v>1924</v>
      </c>
      <c r="U62" s="363">
        <v>11670</v>
      </c>
      <c r="V62" s="363">
        <v>0</v>
      </c>
      <c r="W62" s="363">
        <v>0</v>
      </c>
      <c r="X62" s="363">
        <v>-9746</v>
      </c>
      <c r="Y62" s="363">
        <v>17</v>
      </c>
      <c r="Z62" s="363">
        <v>0</v>
      </c>
      <c r="AA62" s="363">
        <v>0</v>
      </c>
      <c r="AB62" s="363">
        <v>-9729</v>
      </c>
      <c r="AD62" s="363">
        <v>17620</v>
      </c>
      <c r="AG62" s="363">
        <v>-10215</v>
      </c>
      <c r="AH62" s="349"/>
      <c r="AJ62" s="363">
        <v>16552</v>
      </c>
      <c r="AL62" s="363">
        <v>84792</v>
      </c>
      <c r="AN62" s="349"/>
      <c r="AO62" s="454">
        <v>34667</v>
      </c>
      <c r="AP62" s="478">
        <v>19.75</v>
      </c>
      <c r="AQ62" s="213"/>
      <c r="AS62" s="509">
        <v>31823</v>
      </c>
      <c r="AT62" s="349">
        <v>206069</v>
      </c>
      <c r="AU62" s="480">
        <v>-174246</v>
      </c>
      <c r="AV62" s="199">
        <v>137875</v>
      </c>
      <c r="AW62" s="199">
        <v>5762</v>
      </c>
      <c r="AX62" s="199">
        <v>6973</v>
      </c>
      <c r="AY62" s="199">
        <v>150610</v>
      </c>
      <c r="AZ62" s="199">
        <v>42557</v>
      </c>
      <c r="BA62" s="181">
        <v>116</v>
      </c>
      <c r="BB62" s="511">
        <v>1607</v>
      </c>
      <c r="BC62" s="181">
        <v>707</v>
      </c>
      <c r="BD62" s="181">
        <v>7</v>
      </c>
      <c r="BE62" s="199">
        <v>18130</v>
      </c>
      <c r="BG62" s="183">
        <v>9598</v>
      </c>
      <c r="BH62" s="183">
        <v>0</v>
      </c>
      <c r="BI62" s="183">
        <v>0</v>
      </c>
      <c r="BJ62" s="199">
        <v>8532</v>
      </c>
      <c r="BK62" s="183">
        <v>17</v>
      </c>
      <c r="BL62" s="199">
        <v>0</v>
      </c>
      <c r="BM62" s="183">
        <v>0</v>
      </c>
      <c r="BN62" s="199">
        <v>8549</v>
      </c>
      <c r="BP62" s="199">
        <v>26167</v>
      </c>
      <c r="BS62" s="211"/>
      <c r="BV62" s="514">
        <v>22659</v>
      </c>
      <c r="BX62" s="181">
        <v>88975</v>
      </c>
      <c r="BZ62" s="349"/>
      <c r="CB62" s="340"/>
      <c r="CC62" s="488">
        <v>19.75</v>
      </c>
      <c r="CD62" s="378"/>
      <c r="CE62" s="378"/>
      <c r="CF62" s="195"/>
      <c r="CG62" s="349"/>
      <c r="CI62" s="181">
        <v>28113</v>
      </c>
      <c r="CJ62" s="183">
        <v>0</v>
      </c>
      <c r="CK62" s="421">
        <v>36849.245129089337</v>
      </c>
      <c r="CL62" s="494">
        <v>39595.059172372123</v>
      </c>
      <c r="CM62" s="483">
        <v>20730.622010804</v>
      </c>
      <c r="CN62" s="483">
        <v>20598.308063874054</v>
      </c>
      <c r="CO62" s="483">
        <v>20958.846065140588</v>
      </c>
      <c r="CP62" s="433">
        <f t="shared" si="0"/>
        <v>-8577.2451290893368</v>
      </c>
      <c r="CQ62" s="212"/>
      <c r="CR62" s="212">
        <v>-2588</v>
      </c>
      <c r="CS62" s="212">
        <v>-19324</v>
      </c>
      <c r="CT62" s="183">
        <v>132</v>
      </c>
      <c r="CU62" s="183">
        <v>3488</v>
      </c>
      <c r="CV62" s="485">
        <v>1620</v>
      </c>
      <c r="CX62" s="422"/>
      <c r="CY62" s="475"/>
      <c r="CZ62" s="450"/>
      <c r="DA62" s="394"/>
      <c r="DB62" s="394"/>
      <c r="DC62" s="347"/>
      <c r="DD62" s="394"/>
      <c r="DE62" s="394"/>
      <c r="DF62" s="394"/>
      <c r="DG62" s="394"/>
      <c r="DH62" s="394"/>
    </row>
    <row r="63" spans="1:112" x14ac:dyDescent="0.25">
      <c r="A63" s="179">
        <v>204</v>
      </c>
      <c r="B63" s="181" t="s">
        <v>98</v>
      </c>
      <c r="C63" s="373">
        <v>2893</v>
      </c>
      <c r="D63" s="360">
        <v>22</v>
      </c>
      <c r="E63" s="213"/>
      <c r="G63" s="363">
        <v>3316</v>
      </c>
      <c r="H63" s="363">
        <v>24656</v>
      </c>
      <c r="I63" s="349"/>
      <c r="J63" s="363">
        <v>7195</v>
      </c>
      <c r="K63" s="363">
        <v>1099</v>
      </c>
      <c r="L63" s="363">
        <v>1148</v>
      </c>
      <c r="M63" s="363">
        <v>9442</v>
      </c>
      <c r="N63" s="363">
        <v>12468</v>
      </c>
      <c r="O63" s="363">
        <v>3</v>
      </c>
      <c r="P63" s="363">
        <v>114</v>
      </c>
      <c r="Q63" s="363">
        <v>185</v>
      </c>
      <c r="R63" s="363">
        <v>1</v>
      </c>
      <c r="S63" s="363">
        <v>643</v>
      </c>
      <c r="U63" s="363">
        <v>797</v>
      </c>
      <c r="V63" s="363">
        <v>0</v>
      </c>
      <c r="W63" s="363">
        <v>0</v>
      </c>
      <c r="X63" s="363">
        <v>-154</v>
      </c>
      <c r="Y63" s="363">
        <v>12</v>
      </c>
      <c r="Z63" s="363">
        <v>0</v>
      </c>
      <c r="AA63" s="363">
        <v>0</v>
      </c>
      <c r="AB63" s="363">
        <v>-142</v>
      </c>
      <c r="AD63" s="363">
        <v>-632</v>
      </c>
      <c r="AG63" s="363">
        <v>19</v>
      </c>
      <c r="AH63" s="349"/>
      <c r="AJ63" s="363">
        <v>1163</v>
      </c>
      <c r="AL63" s="363">
        <v>7897</v>
      </c>
      <c r="AN63" s="349"/>
      <c r="AO63" s="454">
        <v>2807</v>
      </c>
      <c r="AP63" s="478">
        <v>22</v>
      </c>
      <c r="AQ63" s="213"/>
      <c r="AS63" s="509">
        <v>3028</v>
      </c>
      <c r="AT63" s="349">
        <v>24138</v>
      </c>
      <c r="AU63" s="480">
        <v>-21110</v>
      </c>
      <c r="AV63" s="199">
        <v>7458</v>
      </c>
      <c r="AW63" s="199">
        <v>1304</v>
      </c>
      <c r="AX63" s="199">
        <v>1071</v>
      </c>
      <c r="AY63" s="199">
        <v>9833</v>
      </c>
      <c r="AZ63" s="199">
        <v>13297</v>
      </c>
      <c r="BA63" s="181">
        <v>3</v>
      </c>
      <c r="BB63" s="511">
        <v>106</v>
      </c>
      <c r="BC63" s="181">
        <v>193</v>
      </c>
      <c r="BD63" s="181">
        <v>14</v>
      </c>
      <c r="BE63" s="199">
        <v>2096</v>
      </c>
      <c r="BG63" s="183">
        <v>840</v>
      </c>
      <c r="BH63" s="183">
        <v>0</v>
      </c>
      <c r="BI63" s="199">
        <v>0</v>
      </c>
      <c r="BJ63" s="199">
        <v>1256</v>
      </c>
      <c r="BK63" s="199">
        <v>48</v>
      </c>
      <c r="BL63" s="183">
        <v>0</v>
      </c>
      <c r="BM63" s="183">
        <v>0</v>
      </c>
      <c r="BN63" s="199">
        <v>1304</v>
      </c>
      <c r="BP63" s="199">
        <v>672</v>
      </c>
      <c r="BS63" s="211"/>
      <c r="BV63" s="514">
        <v>2998</v>
      </c>
      <c r="BX63" s="181">
        <v>7239</v>
      </c>
      <c r="BZ63" s="349"/>
      <c r="CB63" s="340"/>
      <c r="CC63" s="488">
        <v>22</v>
      </c>
      <c r="CD63" s="378"/>
      <c r="CE63" s="378"/>
      <c r="CF63" s="195"/>
      <c r="CG63" s="349"/>
      <c r="CI63" s="181">
        <v>11077</v>
      </c>
      <c r="CJ63" s="183">
        <v>500</v>
      </c>
      <c r="CK63" s="421">
        <v>12439.503951713907</v>
      </c>
      <c r="CL63" s="494">
        <v>12044.464490050927</v>
      </c>
      <c r="CM63" s="483">
        <v>-210.30531456382846</v>
      </c>
      <c r="CN63" s="483">
        <v>-134.37875991166061</v>
      </c>
      <c r="CO63" s="483">
        <v>-226.23848188895136</v>
      </c>
      <c r="CP63" s="433">
        <f t="shared" si="0"/>
        <v>28.496048286093355</v>
      </c>
      <c r="CQ63" s="212"/>
      <c r="CR63" s="212">
        <v>-42</v>
      </c>
      <c r="CS63" s="212">
        <v>-1411</v>
      </c>
      <c r="CT63" s="183">
        <v>0</v>
      </c>
      <c r="CU63" s="183">
        <v>743</v>
      </c>
      <c r="CV63" s="485">
        <v>34</v>
      </c>
      <c r="CX63" s="422"/>
      <c r="CY63" s="475"/>
      <c r="CZ63" s="450"/>
      <c r="DA63" s="394"/>
      <c r="DB63" s="394"/>
      <c r="DC63" s="347"/>
      <c r="DD63" s="394"/>
      <c r="DE63" s="394"/>
      <c r="DF63" s="394"/>
      <c r="DG63" s="394"/>
      <c r="DH63" s="394"/>
    </row>
    <row r="64" spans="1:112" x14ac:dyDescent="0.25">
      <c r="A64" s="179">
        <v>205</v>
      </c>
      <c r="B64" s="181" t="s">
        <v>99</v>
      </c>
      <c r="C64" s="373">
        <v>36709</v>
      </c>
      <c r="D64" s="360">
        <v>21</v>
      </c>
      <c r="E64" s="213"/>
      <c r="G64" s="363">
        <v>44097</v>
      </c>
      <c r="H64" s="363">
        <v>298956</v>
      </c>
      <c r="I64" s="349"/>
      <c r="J64" s="363">
        <v>122364</v>
      </c>
      <c r="K64" s="363">
        <v>5465</v>
      </c>
      <c r="L64" s="363">
        <v>10589</v>
      </c>
      <c r="M64" s="363">
        <v>138418</v>
      </c>
      <c r="N64" s="363">
        <v>104003</v>
      </c>
      <c r="O64" s="363">
        <v>3832</v>
      </c>
      <c r="P64" s="363">
        <v>1257</v>
      </c>
      <c r="Q64" s="363">
        <v>54218</v>
      </c>
      <c r="R64" s="363">
        <v>3420</v>
      </c>
      <c r="S64" s="363">
        <v>40935</v>
      </c>
      <c r="U64" s="363">
        <v>17821</v>
      </c>
      <c r="V64" s="363">
        <v>119904</v>
      </c>
      <c r="W64" s="363">
        <v>0</v>
      </c>
      <c r="X64" s="363">
        <v>143018</v>
      </c>
      <c r="Y64" s="363">
        <v>-39</v>
      </c>
      <c r="Z64" s="363">
        <v>-20000</v>
      </c>
      <c r="AA64" s="363">
        <v>14</v>
      </c>
      <c r="AB64" s="363">
        <v>122993</v>
      </c>
      <c r="AD64" s="363">
        <v>180314</v>
      </c>
      <c r="AG64" s="363">
        <v>96434</v>
      </c>
      <c r="AH64" s="349"/>
      <c r="AJ64" s="363">
        <v>224505</v>
      </c>
      <c r="AL64" s="363">
        <v>141463</v>
      </c>
      <c r="AN64" s="349"/>
      <c r="AO64" s="454">
        <v>36567</v>
      </c>
      <c r="AP64" s="478">
        <v>21</v>
      </c>
      <c r="AQ64" s="213"/>
      <c r="AS64" s="509">
        <v>35310</v>
      </c>
      <c r="AT64" s="349">
        <v>297605</v>
      </c>
      <c r="AU64" s="480">
        <v>-262295</v>
      </c>
      <c r="AV64" s="199">
        <v>125951</v>
      </c>
      <c r="AW64" s="199">
        <v>5821</v>
      </c>
      <c r="AX64" s="199">
        <v>9650</v>
      </c>
      <c r="AY64" s="199">
        <v>141422</v>
      </c>
      <c r="AZ64" s="199">
        <v>123803</v>
      </c>
      <c r="BA64" s="181">
        <v>367</v>
      </c>
      <c r="BB64" s="511">
        <v>1443</v>
      </c>
      <c r="BC64" s="181">
        <v>9926</v>
      </c>
      <c r="BD64" s="181">
        <v>3752</v>
      </c>
      <c r="BE64" s="199">
        <v>8028</v>
      </c>
      <c r="BG64" s="183">
        <v>16378</v>
      </c>
      <c r="BH64" s="199">
        <v>0</v>
      </c>
      <c r="BI64" s="199">
        <v>0</v>
      </c>
      <c r="BJ64" s="199">
        <v>-8350</v>
      </c>
      <c r="BK64" s="199">
        <v>-3682</v>
      </c>
      <c r="BL64" s="183">
        <v>42</v>
      </c>
      <c r="BM64" s="199">
        <v>9</v>
      </c>
      <c r="BN64" s="199">
        <v>-11981</v>
      </c>
      <c r="BP64" s="199">
        <v>168333</v>
      </c>
      <c r="BS64" s="211"/>
      <c r="BV64" s="514">
        <v>189512</v>
      </c>
      <c r="BX64" s="181">
        <v>134206</v>
      </c>
      <c r="BZ64" s="349"/>
      <c r="CB64" s="340"/>
      <c r="CC64" s="488">
        <v>21</v>
      </c>
      <c r="CD64" s="378"/>
      <c r="CE64" s="378"/>
      <c r="CF64" s="195"/>
      <c r="CG64" s="349"/>
      <c r="CI64" s="181">
        <v>69302</v>
      </c>
      <c r="CJ64" s="183">
        <v>0</v>
      </c>
      <c r="CK64" s="421">
        <v>117379.82842837954</v>
      </c>
      <c r="CL64" s="494">
        <v>124841.94048489118</v>
      </c>
      <c r="CM64" s="483">
        <v>49823.695574823127</v>
      </c>
      <c r="CN64" s="483">
        <v>49871.998436731563</v>
      </c>
      <c r="CO64" s="483">
        <v>50568.926897257421</v>
      </c>
      <c r="CP64" s="433">
        <f t="shared" si="0"/>
        <v>-13376.828428379536</v>
      </c>
      <c r="CQ64" s="212"/>
      <c r="CR64" s="212">
        <v>-1064</v>
      </c>
      <c r="CS64" s="212">
        <v>-50812</v>
      </c>
      <c r="CT64" s="183">
        <v>301</v>
      </c>
      <c r="CU64" s="183">
        <v>110</v>
      </c>
      <c r="CV64" s="485">
        <v>155</v>
      </c>
      <c r="CX64" s="422"/>
      <c r="CY64" s="475"/>
      <c r="CZ64" s="450"/>
      <c r="DA64" s="394"/>
      <c r="DB64" s="394"/>
      <c r="DC64" s="347"/>
      <c r="DD64" s="394"/>
      <c r="DE64" s="394"/>
      <c r="DF64" s="394"/>
      <c r="DG64" s="394"/>
      <c r="DH64" s="394"/>
    </row>
    <row r="65" spans="1:112" x14ac:dyDescent="0.25">
      <c r="A65" s="352">
        <v>208</v>
      </c>
      <c r="B65" s="349" t="s">
        <v>100</v>
      </c>
      <c r="C65" s="373">
        <v>12373</v>
      </c>
      <c r="D65" s="360">
        <v>21</v>
      </c>
      <c r="E65" s="429"/>
      <c r="F65" s="349"/>
      <c r="G65" s="363">
        <v>22258</v>
      </c>
      <c r="H65" s="363">
        <v>90507</v>
      </c>
      <c r="I65" s="349"/>
      <c r="J65" s="363">
        <v>34278</v>
      </c>
      <c r="K65" s="363">
        <v>1911</v>
      </c>
      <c r="L65" s="363">
        <v>5351</v>
      </c>
      <c r="M65" s="363">
        <v>41540</v>
      </c>
      <c r="N65" s="363">
        <v>31822</v>
      </c>
      <c r="O65" s="363">
        <v>158</v>
      </c>
      <c r="P65" s="363">
        <v>157</v>
      </c>
      <c r="Q65" s="363">
        <v>789</v>
      </c>
      <c r="R65" s="363">
        <v>76</v>
      </c>
      <c r="S65" s="363">
        <v>5827</v>
      </c>
      <c r="T65" s="349"/>
      <c r="U65" s="363">
        <v>5866</v>
      </c>
      <c r="V65" s="363">
        <v>0</v>
      </c>
      <c r="W65" s="363">
        <v>0</v>
      </c>
      <c r="X65" s="363">
        <v>-39</v>
      </c>
      <c r="Y65" s="363">
        <v>54</v>
      </c>
      <c r="Z65" s="363">
        <v>0</v>
      </c>
      <c r="AA65" s="363">
        <v>0</v>
      </c>
      <c r="AB65" s="363">
        <v>15</v>
      </c>
      <c r="AC65" s="349"/>
      <c r="AD65" s="363">
        <v>17286</v>
      </c>
      <c r="AE65" s="349"/>
      <c r="AF65" s="349"/>
      <c r="AG65" s="363">
        <v>-7574</v>
      </c>
      <c r="AH65" s="349"/>
      <c r="AI65" s="349"/>
      <c r="AJ65" s="363">
        <v>17772</v>
      </c>
      <c r="AK65" s="349"/>
      <c r="AL65" s="363">
        <v>44946</v>
      </c>
      <c r="AM65" s="349"/>
      <c r="AN65" s="349"/>
      <c r="AO65" s="462">
        <v>12400</v>
      </c>
      <c r="AP65" s="478">
        <v>21</v>
      </c>
      <c r="AQ65" s="429"/>
      <c r="AR65" s="349"/>
      <c r="AS65" s="509">
        <v>21216</v>
      </c>
      <c r="AT65" s="349">
        <v>93252</v>
      </c>
      <c r="AU65" s="363">
        <v>-72036</v>
      </c>
      <c r="AV65" s="349">
        <v>36015</v>
      </c>
      <c r="AW65" s="349">
        <v>2079</v>
      </c>
      <c r="AX65" s="349">
        <v>4876</v>
      </c>
      <c r="AY65" s="349">
        <v>42970</v>
      </c>
      <c r="AZ65" s="349">
        <v>37804</v>
      </c>
      <c r="BA65" s="349">
        <v>144</v>
      </c>
      <c r="BB65" s="349">
        <v>154</v>
      </c>
      <c r="BC65" s="349">
        <v>534</v>
      </c>
      <c r="BD65" s="349">
        <v>62</v>
      </c>
      <c r="BE65" s="349">
        <v>9200</v>
      </c>
      <c r="BF65" s="349"/>
      <c r="BG65" s="349">
        <v>5729</v>
      </c>
      <c r="BH65" s="349">
        <v>0</v>
      </c>
      <c r="BI65" s="349">
        <v>0</v>
      </c>
      <c r="BJ65" s="349">
        <v>3471</v>
      </c>
      <c r="BK65" s="349">
        <v>54</v>
      </c>
      <c r="BL65" s="349">
        <v>-2500</v>
      </c>
      <c r="BM65" s="349">
        <v>0</v>
      </c>
      <c r="BN65" s="349">
        <v>1025</v>
      </c>
      <c r="BO65" s="349"/>
      <c r="BP65" s="349">
        <v>18311</v>
      </c>
      <c r="BQ65" s="349"/>
      <c r="BR65" s="349"/>
      <c r="BS65" s="349"/>
      <c r="BT65" s="349"/>
      <c r="BU65" s="349"/>
      <c r="BV65" s="349">
        <v>19568</v>
      </c>
      <c r="BW65" s="349"/>
      <c r="BX65" s="349">
        <v>39746</v>
      </c>
      <c r="BY65" s="349"/>
      <c r="BZ65" s="349"/>
      <c r="CA65" s="349"/>
      <c r="CB65" s="340"/>
      <c r="CC65" s="488">
        <v>21</v>
      </c>
      <c r="CD65" s="378"/>
      <c r="CE65" s="378"/>
      <c r="CF65" s="359"/>
      <c r="CG65" s="349"/>
      <c r="CH65" s="347"/>
      <c r="CI65" s="349">
        <v>26296</v>
      </c>
      <c r="CJ65" s="347">
        <v>0</v>
      </c>
      <c r="CK65" s="421">
        <v>36197.895973259532</v>
      </c>
      <c r="CL65" s="494">
        <v>39206.813547528203</v>
      </c>
      <c r="CM65" s="475">
        <v>15331.213784862846</v>
      </c>
      <c r="CN65" s="475">
        <v>14603.331002110068</v>
      </c>
      <c r="CO65" s="475">
        <v>14024.046195244582</v>
      </c>
      <c r="CP65" s="433">
        <f t="shared" si="0"/>
        <v>-4375.8959732595322</v>
      </c>
      <c r="CQ65" s="363"/>
      <c r="CR65" s="363">
        <v>-471</v>
      </c>
      <c r="CS65" s="363">
        <v>-4851</v>
      </c>
      <c r="CT65" s="347">
        <v>229</v>
      </c>
      <c r="CU65" s="347">
        <v>921</v>
      </c>
      <c r="CV65" s="485">
        <v>362</v>
      </c>
      <c r="CW65" s="357"/>
      <c r="CX65" s="347"/>
      <c r="CY65" s="475"/>
      <c r="CZ65" s="394"/>
      <c r="DA65" s="394"/>
      <c r="DB65" s="394"/>
      <c r="DC65" s="347"/>
      <c r="DD65" s="394"/>
      <c r="DE65" s="394"/>
      <c r="DF65" s="394"/>
      <c r="DG65" s="394"/>
      <c r="DH65" s="394"/>
    </row>
    <row r="66" spans="1:112" x14ac:dyDescent="0.25">
      <c r="A66" s="352">
        <v>211</v>
      </c>
      <c r="B66" s="349" t="s">
        <v>101</v>
      </c>
      <c r="C66" s="373">
        <v>31868</v>
      </c>
      <c r="D66" s="478">
        <v>21</v>
      </c>
      <c r="E66" s="429"/>
      <c r="F66" s="428"/>
      <c r="G66" s="363">
        <v>44354</v>
      </c>
      <c r="H66" s="363">
        <v>203175</v>
      </c>
      <c r="I66" s="362"/>
      <c r="J66" s="363">
        <v>119533</v>
      </c>
      <c r="K66" s="363">
        <v>4316</v>
      </c>
      <c r="L66" s="363">
        <v>7212</v>
      </c>
      <c r="M66" s="363">
        <v>131061</v>
      </c>
      <c r="N66" s="363">
        <v>38573</v>
      </c>
      <c r="O66" s="363">
        <v>69</v>
      </c>
      <c r="P66" s="363">
        <v>789</v>
      </c>
      <c r="Q66" s="363">
        <v>3047</v>
      </c>
      <c r="R66" s="363">
        <v>-615</v>
      </c>
      <c r="S66" s="363">
        <v>13755</v>
      </c>
      <c r="T66" s="428"/>
      <c r="U66" s="363">
        <v>13335</v>
      </c>
      <c r="V66" s="363">
        <v>0</v>
      </c>
      <c r="W66" s="363">
        <v>0</v>
      </c>
      <c r="X66" s="363">
        <v>420</v>
      </c>
      <c r="Y66" s="363">
        <v>7</v>
      </c>
      <c r="Z66" s="363">
        <v>0</v>
      </c>
      <c r="AA66" s="363">
        <v>0</v>
      </c>
      <c r="AB66" s="363">
        <v>427</v>
      </c>
      <c r="AC66" s="428"/>
      <c r="AD66" s="363">
        <v>53725</v>
      </c>
      <c r="AE66" s="428"/>
      <c r="AF66" s="428"/>
      <c r="AG66" s="363">
        <v>-21185</v>
      </c>
      <c r="AH66" s="349"/>
      <c r="AI66" s="428"/>
      <c r="AJ66" s="363">
        <v>45147</v>
      </c>
      <c r="AK66" s="428"/>
      <c r="AL66" s="363">
        <v>68842</v>
      </c>
      <c r="AM66" s="428"/>
      <c r="AN66" s="349"/>
      <c r="AO66" s="508">
        <v>32214</v>
      </c>
      <c r="AP66" s="478">
        <v>21</v>
      </c>
      <c r="AQ66" s="429"/>
      <c r="AR66" s="428"/>
      <c r="AS66" s="509">
        <v>46892</v>
      </c>
      <c r="AT66" s="349">
        <v>206816</v>
      </c>
      <c r="AU66" s="481">
        <v>-159924</v>
      </c>
      <c r="AV66" s="510">
        <v>126025</v>
      </c>
      <c r="AW66" s="510">
        <v>4922</v>
      </c>
      <c r="AX66" s="510">
        <v>6731</v>
      </c>
      <c r="AY66" s="510">
        <v>137678</v>
      </c>
      <c r="AZ66" s="510">
        <v>51539</v>
      </c>
      <c r="BA66" s="510">
        <v>113</v>
      </c>
      <c r="BB66" s="510">
        <v>735</v>
      </c>
      <c r="BC66" s="510">
        <v>3160</v>
      </c>
      <c r="BD66" s="510">
        <v>329</v>
      </c>
      <c r="BE66" s="510">
        <v>31502</v>
      </c>
      <c r="BF66" s="428"/>
      <c r="BG66" s="510">
        <v>12710</v>
      </c>
      <c r="BH66" s="510">
        <v>0</v>
      </c>
      <c r="BI66" s="510">
        <v>0</v>
      </c>
      <c r="BJ66" s="510">
        <v>18792</v>
      </c>
      <c r="BK66" s="510">
        <v>-2506</v>
      </c>
      <c r="BL66" s="510">
        <v>-5300</v>
      </c>
      <c r="BM66" s="510">
        <v>0</v>
      </c>
      <c r="BN66" s="510">
        <v>10986</v>
      </c>
      <c r="BO66" s="428"/>
      <c r="BP66" s="510">
        <v>64711</v>
      </c>
      <c r="BQ66" s="428"/>
      <c r="BR66" s="428"/>
      <c r="BS66" s="428"/>
      <c r="BT66" s="428"/>
      <c r="BU66" s="428"/>
      <c r="BV66" s="510">
        <v>60690</v>
      </c>
      <c r="BW66" s="428"/>
      <c r="BX66" s="510">
        <v>72906</v>
      </c>
      <c r="BY66" s="428"/>
      <c r="BZ66" s="349"/>
      <c r="CA66" s="428"/>
      <c r="CB66" s="430"/>
      <c r="CC66" s="431">
        <v>21</v>
      </c>
      <c r="CD66" s="378"/>
      <c r="CE66" s="432"/>
      <c r="CF66" s="428"/>
      <c r="CG66" s="349"/>
      <c r="CH66" s="428"/>
      <c r="CI66" s="428">
        <v>31664</v>
      </c>
      <c r="CJ66" s="428">
        <v>0</v>
      </c>
      <c r="CK66" s="492">
        <v>44823.588008737017</v>
      </c>
      <c r="CL66" s="495">
        <v>48280.909425139223</v>
      </c>
      <c r="CM66" s="481">
        <v>29671.640039767135</v>
      </c>
      <c r="CN66" s="475">
        <v>28831.925151832551</v>
      </c>
      <c r="CO66" s="475">
        <v>28773.683455027658</v>
      </c>
      <c r="CP66" s="433">
        <f t="shared" si="0"/>
        <v>-6250.5880087370169</v>
      </c>
      <c r="CQ66" s="428"/>
      <c r="CR66" s="481">
        <v>-1320</v>
      </c>
      <c r="CS66" s="481">
        <v>-26413</v>
      </c>
      <c r="CT66" s="510">
        <v>686</v>
      </c>
      <c r="CU66" s="510">
        <v>1350</v>
      </c>
      <c r="CV66" s="485">
        <v>11</v>
      </c>
      <c r="CW66" s="357"/>
      <c r="CX66" s="347"/>
      <c r="CY66" s="475"/>
      <c r="CZ66" s="394"/>
      <c r="DA66" s="394"/>
      <c r="DB66" s="394"/>
      <c r="DC66" s="347"/>
      <c r="DD66" s="394"/>
      <c r="DE66" s="394"/>
      <c r="DF66" s="394"/>
      <c r="DG66" s="394"/>
      <c r="DH66" s="394"/>
    </row>
    <row r="67" spans="1:112" x14ac:dyDescent="0.25">
      <c r="A67" s="179">
        <v>213</v>
      </c>
      <c r="B67" s="181" t="s">
        <v>102</v>
      </c>
      <c r="C67" s="373">
        <v>5356</v>
      </c>
      <c r="D67" s="360">
        <v>20.75</v>
      </c>
      <c r="E67" s="213"/>
      <c r="G67" s="363">
        <v>3000</v>
      </c>
      <c r="H67" s="363">
        <v>39199</v>
      </c>
      <c r="I67" s="349"/>
      <c r="J67" s="363">
        <v>14009</v>
      </c>
      <c r="K67" s="363">
        <v>2660</v>
      </c>
      <c r="L67" s="363">
        <v>1844</v>
      </c>
      <c r="M67" s="363">
        <v>18513</v>
      </c>
      <c r="N67" s="363">
        <v>18372</v>
      </c>
      <c r="O67" s="363">
        <v>18</v>
      </c>
      <c r="P67" s="363">
        <v>122</v>
      </c>
      <c r="Q67" s="363">
        <v>262</v>
      </c>
      <c r="R67" s="363">
        <v>1</v>
      </c>
      <c r="S67" s="363">
        <v>843</v>
      </c>
      <c r="U67" s="363">
        <v>1672</v>
      </c>
      <c r="V67" s="363">
        <v>0</v>
      </c>
      <c r="W67" s="363">
        <v>0</v>
      </c>
      <c r="X67" s="363">
        <v>-829</v>
      </c>
      <c r="Y67" s="363">
        <v>0</v>
      </c>
      <c r="Z67" s="363">
        <v>0</v>
      </c>
      <c r="AA67" s="363">
        <v>0</v>
      </c>
      <c r="AB67" s="363">
        <v>-829</v>
      </c>
      <c r="AD67" s="363">
        <v>5151</v>
      </c>
      <c r="AG67" s="363">
        <v>-1144</v>
      </c>
      <c r="AH67" s="349"/>
      <c r="AJ67" s="363">
        <v>2551</v>
      </c>
      <c r="AL67" s="363">
        <v>21743</v>
      </c>
      <c r="AN67" s="349"/>
      <c r="AO67" s="454">
        <v>5312</v>
      </c>
      <c r="AP67" s="478">
        <v>21.5</v>
      </c>
      <c r="AQ67" s="213"/>
      <c r="AS67" s="509">
        <v>3205</v>
      </c>
      <c r="AT67" s="349">
        <v>38895</v>
      </c>
      <c r="AU67" s="480">
        <v>-35690</v>
      </c>
      <c r="AV67" s="199">
        <v>14676</v>
      </c>
      <c r="AW67" s="199">
        <v>2981</v>
      </c>
      <c r="AX67" s="199">
        <v>1780</v>
      </c>
      <c r="AY67" s="199">
        <v>19437</v>
      </c>
      <c r="AZ67" s="199">
        <v>20038</v>
      </c>
      <c r="BA67" s="181">
        <v>17</v>
      </c>
      <c r="BB67" s="511">
        <v>97</v>
      </c>
      <c r="BC67" s="181">
        <v>293</v>
      </c>
      <c r="BD67" s="181">
        <v>0</v>
      </c>
      <c r="BE67" s="199">
        <v>3998</v>
      </c>
      <c r="BG67" s="183">
        <v>1623</v>
      </c>
      <c r="BH67" s="183">
        <v>0</v>
      </c>
      <c r="BI67" s="199">
        <v>0</v>
      </c>
      <c r="BJ67" s="199">
        <v>2375</v>
      </c>
      <c r="BK67" s="183">
        <v>0</v>
      </c>
      <c r="BL67" s="199">
        <v>0</v>
      </c>
      <c r="BM67" s="183">
        <v>0</v>
      </c>
      <c r="BN67" s="199">
        <v>2375</v>
      </c>
      <c r="BP67" s="199">
        <v>7528</v>
      </c>
      <c r="BS67" s="211"/>
      <c r="BV67" s="514">
        <v>2207</v>
      </c>
      <c r="BX67" s="181">
        <v>17929</v>
      </c>
      <c r="BZ67" s="349"/>
      <c r="CB67" s="340"/>
      <c r="CC67" s="488">
        <v>21.5</v>
      </c>
      <c r="CD67" s="378"/>
      <c r="CE67" s="378"/>
      <c r="CF67" s="195"/>
      <c r="CG67" s="349"/>
      <c r="CI67" s="181">
        <v>18214</v>
      </c>
      <c r="CJ67" s="183">
        <v>0</v>
      </c>
      <c r="CK67" s="421">
        <v>19119.135213622634</v>
      </c>
      <c r="CL67" s="494">
        <v>18978.928640855389</v>
      </c>
      <c r="CM67" s="483">
        <v>2117.1220348713969</v>
      </c>
      <c r="CN67" s="483">
        <v>2079.3771405434663</v>
      </c>
      <c r="CO67" s="483">
        <v>1669.0094104058983</v>
      </c>
      <c r="CP67" s="433">
        <f t="shared" ref="CP67:CP130" si="1">N67-CK67</f>
        <v>-747.13521362263418</v>
      </c>
      <c r="CQ67" s="212"/>
      <c r="CR67" s="212">
        <v>-313</v>
      </c>
      <c r="CS67" s="212">
        <v>-962</v>
      </c>
      <c r="CT67" s="183">
        <v>14</v>
      </c>
      <c r="CU67" s="183">
        <v>2055</v>
      </c>
      <c r="CV67" s="485">
        <v>11</v>
      </c>
      <c r="CX67" s="422"/>
      <c r="CY67" s="475"/>
      <c r="CZ67" s="450"/>
      <c r="DA67" s="394"/>
      <c r="DB67" s="394"/>
      <c r="DC67" s="347"/>
      <c r="DD67" s="394"/>
      <c r="DE67" s="394"/>
      <c r="DF67" s="394"/>
      <c r="DG67" s="394"/>
      <c r="DH67" s="394"/>
    </row>
    <row r="68" spans="1:112" x14ac:dyDescent="0.25">
      <c r="A68" s="179">
        <v>214</v>
      </c>
      <c r="B68" s="181" t="s">
        <v>103</v>
      </c>
      <c r="C68" s="373">
        <v>11286</v>
      </c>
      <c r="D68" s="360">
        <v>21.5</v>
      </c>
      <c r="E68" s="213"/>
      <c r="G68" s="363">
        <v>8978</v>
      </c>
      <c r="H68" s="363">
        <v>76730</v>
      </c>
      <c r="I68" s="349"/>
      <c r="J68" s="363">
        <v>33520</v>
      </c>
      <c r="K68" s="363">
        <v>2492</v>
      </c>
      <c r="L68" s="363">
        <v>3511</v>
      </c>
      <c r="M68" s="363">
        <v>39523</v>
      </c>
      <c r="N68" s="363">
        <v>27373</v>
      </c>
      <c r="O68" s="363">
        <v>6</v>
      </c>
      <c r="P68" s="363">
        <v>167</v>
      </c>
      <c r="Q68" s="363">
        <v>1089</v>
      </c>
      <c r="R68" s="363">
        <v>4</v>
      </c>
      <c r="S68" s="363">
        <v>68</v>
      </c>
      <c r="U68" s="363">
        <v>3671</v>
      </c>
      <c r="V68" s="363">
        <v>0</v>
      </c>
      <c r="W68" s="363">
        <v>0</v>
      </c>
      <c r="X68" s="363">
        <v>-3603</v>
      </c>
      <c r="Y68" s="363">
        <v>0</v>
      </c>
      <c r="Z68" s="363">
        <v>0</v>
      </c>
      <c r="AA68" s="363">
        <v>0</v>
      </c>
      <c r="AB68" s="363">
        <v>-3603</v>
      </c>
      <c r="AD68" s="363">
        <v>-3625</v>
      </c>
      <c r="AG68" s="363">
        <v>-7298</v>
      </c>
      <c r="AH68" s="349"/>
      <c r="AJ68" s="363">
        <v>1096</v>
      </c>
      <c r="AL68" s="363">
        <v>53165</v>
      </c>
      <c r="AN68" s="349"/>
      <c r="AO68" s="454">
        <v>11163</v>
      </c>
      <c r="AP68" s="478">
        <v>21.75</v>
      </c>
      <c r="AQ68" s="213"/>
      <c r="AS68" s="509">
        <v>8962</v>
      </c>
      <c r="AT68" s="349">
        <v>75273</v>
      </c>
      <c r="AU68" s="480">
        <v>-66311</v>
      </c>
      <c r="AV68" s="199">
        <v>34526</v>
      </c>
      <c r="AW68" s="199">
        <v>2728</v>
      </c>
      <c r="AX68" s="199">
        <v>3214</v>
      </c>
      <c r="AY68" s="199">
        <v>40468</v>
      </c>
      <c r="AZ68" s="199">
        <v>31741</v>
      </c>
      <c r="BA68" s="181">
        <v>4</v>
      </c>
      <c r="BB68" s="511">
        <v>178</v>
      </c>
      <c r="BC68" s="181">
        <v>1035</v>
      </c>
      <c r="BD68" s="181">
        <v>5</v>
      </c>
      <c r="BE68" s="199">
        <v>6754</v>
      </c>
      <c r="BG68" s="183">
        <v>3701</v>
      </c>
      <c r="BH68" s="183">
        <v>0</v>
      </c>
      <c r="BI68" s="183">
        <v>0</v>
      </c>
      <c r="BJ68" s="199">
        <v>3053</v>
      </c>
      <c r="BK68" s="183">
        <v>0</v>
      </c>
      <c r="BL68" s="183">
        <v>0</v>
      </c>
      <c r="BM68" s="183">
        <v>0</v>
      </c>
      <c r="BN68" s="199">
        <v>3053</v>
      </c>
      <c r="BP68" s="199">
        <v>-572</v>
      </c>
      <c r="BS68" s="211"/>
      <c r="BV68" s="514">
        <v>4498</v>
      </c>
      <c r="BX68" s="181">
        <v>55640</v>
      </c>
      <c r="BZ68" s="349"/>
      <c r="CB68" s="340"/>
      <c r="CC68" s="488">
        <v>21.75</v>
      </c>
      <c r="CD68" s="378"/>
      <c r="CE68" s="378"/>
      <c r="CF68" s="195"/>
      <c r="CG68" s="349"/>
      <c r="CH68" s="347"/>
      <c r="CI68" s="181">
        <v>23062</v>
      </c>
      <c r="CJ68" s="183">
        <v>0</v>
      </c>
      <c r="CK68" s="421">
        <v>36091.541298235446</v>
      </c>
      <c r="CL68" s="494">
        <v>37429.056823017308</v>
      </c>
      <c r="CM68" s="483">
        <v>8309.9050578701354</v>
      </c>
      <c r="CN68" s="483">
        <v>8303.0635254382487</v>
      </c>
      <c r="CO68" s="483">
        <v>8225.5420120460949</v>
      </c>
      <c r="CP68" s="433">
        <f t="shared" si="1"/>
        <v>-8718.5412982354464</v>
      </c>
      <c r="CQ68" s="212"/>
      <c r="CR68" s="212">
        <v>-12</v>
      </c>
      <c r="CS68" s="212">
        <v>-5862</v>
      </c>
      <c r="CT68" s="183">
        <v>200</v>
      </c>
      <c r="CU68" s="183">
        <v>50</v>
      </c>
      <c r="CV68" s="485">
        <v>36</v>
      </c>
      <c r="CX68" s="422"/>
      <c r="CY68" s="475"/>
      <c r="CZ68" s="450"/>
      <c r="DA68" s="394"/>
      <c r="DB68" s="394"/>
      <c r="DC68" s="347"/>
      <c r="DD68" s="394"/>
      <c r="DE68" s="394"/>
      <c r="DF68" s="394"/>
      <c r="DG68" s="394"/>
      <c r="DH68" s="394"/>
    </row>
    <row r="69" spans="1:112" x14ac:dyDescent="0.25">
      <c r="A69" s="179">
        <v>216</v>
      </c>
      <c r="B69" s="181" t="s">
        <v>104</v>
      </c>
      <c r="C69" s="373">
        <v>1339</v>
      </c>
      <c r="D69" s="360">
        <v>21</v>
      </c>
      <c r="E69" s="213"/>
      <c r="G69" s="363">
        <v>5689</v>
      </c>
      <c r="H69" s="363">
        <v>15161</v>
      </c>
      <c r="I69" s="349"/>
      <c r="J69" s="363">
        <v>3217</v>
      </c>
      <c r="K69" s="363">
        <v>634</v>
      </c>
      <c r="L69" s="363">
        <v>453</v>
      </c>
      <c r="M69" s="363">
        <v>4304</v>
      </c>
      <c r="N69" s="363">
        <v>5729</v>
      </c>
      <c r="O69" s="363">
        <v>4</v>
      </c>
      <c r="P69" s="363">
        <v>12</v>
      </c>
      <c r="Q69" s="363">
        <v>53</v>
      </c>
      <c r="R69" s="363">
        <v>2431</v>
      </c>
      <c r="S69" s="363">
        <v>-1825</v>
      </c>
      <c r="U69" s="363">
        <v>1144</v>
      </c>
      <c r="V69" s="363">
        <v>9</v>
      </c>
      <c r="W69" s="363">
        <v>143</v>
      </c>
      <c r="X69" s="363">
        <v>-3103</v>
      </c>
      <c r="Y69" s="363">
        <v>1</v>
      </c>
      <c r="Z69" s="363">
        <v>0</v>
      </c>
      <c r="AA69" s="363">
        <v>0</v>
      </c>
      <c r="AB69" s="363">
        <v>-3102</v>
      </c>
      <c r="AD69" s="363">
        <v>8549</v>
      </c>
      <c r="AG69" s="363">
        <v>-492</v>
      </c>
      <c r="AH69" s="349"/>
      <c r="AJ69" s="363">
        <v>3810</v>
      </c>
      <c r="AL69" s="363">
        <v>8366</v>
      </c>
      <c r="AN69" s="349"/>
      <c r="AO69" s="454">
        <v>1323</v>
      </c>
      <c r="AP69" s="478">
        <v>21</v>
      </c>
      <c r="AQ69" s="213"/>
      <c r="AS69" s="509">
        <v>4525</v>
      </c>
      <c r="AT69" s="349">
        <v>14081</v>
      </c>
      <c r="AU69" s="480">
        <v>-9556</v>
      </c>
      <c r="AV69" s="199">
        <v>3187</v>
      </c>
      <c r="AW69" s="199">
        <v>709</v>
      </c>
      <c r="AX69" s="199">
        <v>418</v>
      </c>
      <c r="AY69" s="199">
        <v>4314</v>
      </c>
      <c r="AZ69" s="199">
        <v>6333</v>
      </c>
      <c r="BA69" s="181">
        <v>4</v>
      </c>
      <c r="BB69" s="511">
        <v>11</v>
      </c>
      <c r="BC69" s="181">
        <v>174</v>
      </c>
      <c r="BD69" s="181">
        <v>684</v>
      </c>
      <c r="BE69" s="199">
        <v>574</v>
      </c>
      <c r="BG69" s="183">
        <v>1078</v>
      </c>
      <c r="BH69" s="183">
        <v>0</v>
      </c>
      <c r="BI69" s="183">
        <v>0</v>
      </c>
      <c r="BJ69" s="199">
        <v>-504</v>
      </c>
      <c r="BK69" s="199">
        <v>1</v>
      </c>
      <c r="BL69" s="199">
        <v>0</v>
      </c>
      <c r="BM69" s="183">
        <v>0</v>
      </c>
      <c r="BN69" s="199">
        <v>-503</v>
      </c>
      <c r="BP69" s="199">
        <v>8047</v>
      </c>
      <c r="BS69" s="211"/>
      <c r="BV69" s="514">
        <v>3530</v>
      </c>
      <c r="BX69" s="181">
        <v>9938</v>
      </c>
      <c r="BZ69" s="349"/>
      <c r="CB69" s="340"/>
      <c r="CC69" s="488">
        <v>21</v>
      </c>
      <c r="CD69" s="378"/>
      <c r="CE69" s="378"/>
      <c r="CF69" s="194"/>
      <c r="CG69" s="349"/>
      <c r="CI69" s="181">
        <v>5525</v>
      </c>
      <c r="CJ69" s="183">
        <v>0</v>
      </c>
      <c r="CK69" s="421">
        <v>5940.7041858774646</v>
      </c>
      <c r="CL69" s="494">
        <v>6395.1360482426026</v>
      </c>
      <c r="CM69" s="483">
        <v>1263.2446905265274</v>
      </c>
      <c r="CN69" s="483">
        <v>1204.7321458500196</v>
      </c>
      <c r="CO69" s="483">
        <v>1202.5572306260603</v>
      </c>
      <c r="CP69" s="433">
        <f t="shared" si="1"/>
        <v>-211.70418587746462</v>
      </c>
      <c r="CQ69" s="212"/>
      <c r="CR69" s="212">
        <v>-1729</v>
      </c>
      <c r="CS69" s="212">
        <v>-427</v>
      </c>
      <c r="CT69" s="183">
        <v>0</v>
      </c>
      <c r="CU69" s="183">
        <v>2</v>
      </c>
      <c r="CV69" s="485">
        <v>0</v>
      </c>
      <c r="CX69" s="422"/>
      <c r="CY69" s="475"/>
      <c r="CZ69" s="450"/>
      <c r="DA69" s="394"/>
      <c r="DB69" s="394"/>
      <c r="DC69" s="347"/>
      <c r="DD69" s="394"/>
      <c r="DE69" s="394"/>
      <c r="DF69" s="394"/>
      <c r="DG69" s="394"/>
      <c r="DH69" s="394"/>
    </row>
    <row r="70" spans="1:112" x14ac:dyDescent="0.25">
      <c r="A70" s="179">
        <v>217</v>
      </c>
      <c r="B70" s="181" t="s">
        <v>105</v>
      </c>
      <c r="C70" s="373">
        <v>5464</v>
      </c>
      <c r="D70" s="360">
        <v>21.5</v>
      </c>
      <c r="E70" s="213"/>
      <c r="G70" s="363">
        <v>3240</v>
      </c>
      <c r="H70" s="363">
        <v>34679</v>
      </c>
      <c r="I70" s="349"/>
      <c r="J70" s="363">
        <v>15563</v>
      </c>
      <c r="K70" s="363">
        <v>950</v>
      </c>
      <c r="L70" s="363">
        <v>1289</v>
      </c>
      <c r="M70" s="363">
        <v>17802</v>
      </c>
      <c r="N70" s="363">
        <v>13702</v>
      </c>
      <c r="O70" s="363">
        <v>2</v>
      </c>
      <c r="P70" s="363">
        <v>-20</v>
      </c>
      <c r="Q70" s="363">
        <v>11</v>
      </c>
      <c r="R70" s="363">
        <v>13</v>
      </c>
      <c r="S70" s="363">
        <v>85</v>
      </c>
      <c r="U70" s="363">
        <v>1159</v>
      </c>
      <c r="V70" s="363">
        <v>0</v>
      </c>
      <c r="W70" s="363">
        <v>0</v>
      </c>
      <c r="X70" s="363">
        <v>-1074</v>
      </c>
      <c r="Y70" s="363">
        <v>104</v>
      </c>
      <c r="Z70" s="363">
        <v>0</v>
      </c>
      <c r="AA70" s="363">
        <v>0</v>
      </c>
      <c r="AB70" s="363">
        <v>-970</v>
      </c>
      <c r="AD70" s="363">
        <v>3974</v>
      </c>
      <c r="AG70" s="363">
        <v>-1257</v>
      </c>
      <c r="AH70" s="349"/>
      <c r="AJ70" s="363">
        <v>1342</v>
      </c>
      <c r="AL70" s="363">
        <v>16500</v>
      </c>
      <c r="AN70" s="349"/>
      <c r="AO70" s="454">
        <v>5426</v>
      </c>
      <c r="AP70" s="478">
        <v>21.5</v>
      </c>
      <c r="AQ70" s="213"/>
      <c r="AS70" s="509">
        <v>2757</v>
      </c>
      <c r="AT70" s="349">
        <v>36255</v>
      </c>
      <c r="AU70" s="480">
        <v>-33498</v>
      </c>
      <c r="AV70" s="199">
        <v>16616</v>
      </c>
      <c r="AW70" s="199">
        <v>1091</v>
      </c>
      <c r="AX70" s="199">
        <v>1639</v>
      </c>
      <c r="AY70" s="199">
        <v>19346</v>
      </c>
      <c r="AZ70" s="199">
        <v>16613</v>
      </c>
      <c r="BA70" s="181">
        <v>5</v>
      </c>
      <c r="BB70" s="511">
        <v>-20</v>
      </c>
      <c r="BC70" s="181">
        <v>16</v>
      </c>
      <c r="BD70" s="181">
        <v>10</v>
      </c>
      <c r="BE70" s="199">
        <v>2492</v>
      </c>
      <c r="BG70" s="183">
        <v>1230</v>
      </c>
      <c r="BH70" s="183">
        <v>0</v>
      </c>
      <c r="BI70" s="199">
        <v>0</v>
      </c>
      <c r="BJ70" s="199">
        <v>1262</v>
      </c>
      <c r="BK70" s="183">
        <v>100</v>
      </c>
      <c r="BL70" s="183">
        <v>0</v>
      </c>
      <c r="BM70" s="199">
        <v>0</v>
      </c>
      <c r="BN70" s="199">
        <v>1362</v>
      </c>
      <c r="BP70" s="199">
        <v>5337</v>
      </c>
      <c r="BS70" s="211"/>
      <c r="BV70" s="514">
        <v>3041</v>
      </c>
      <c r="BX70" s="181">
        <v>15000</v>
      </c>
      <c r="BZ70" s="349"/>
      <c r="CB70" s="340"/>
      <c r="CC70" s="488">
        <v>21.5</v>
      </c>
      <c r="CD70" s="378"/>
      <c r="CE70" s="378"/>
      <c r="CF70" s="195"/>
      <c r="CG70" s="349"/>
      <c r="CI70" s="181">
        <v>12475</v>
      </c>
      <c r="CJ70" s="183">
        <v>0</v>
      </c>
      <c r="CK70" s="421">
        <v>15732.584508363057</v>
      </c>
      <c r="CL70" s="494">
        <v>16810.496325560678</v>
      </c>
      <c r="CM70" s="483">
        <v>4865.0901820441095</v>
      </c>
      <c r="CN70" s="483">
        <v>5031.3473412909216</v>
      </c>
      <c r="CO70" s="483">
        <v>5227.9530184400164</v>
      </c>
      <c r="CP70" s="433">
        <f t="shared" si="1"/>
        <v>-2030.5845083630575</v>
      </c>
      <c r="CQ70" s="212"/>
      <c r="CR70" s="212">
        <v>-6</v>
      </c>
      <c r="CS70" s="212">
        <v>-825</v>
      </c>
      <c r="CT70" s="183">
        <v>0</v>
      </c>
      <c r="CU70" s="183">
        <v>27</v>
      </c>
      <c r="CV70" s="485">
        <v>55</v>
      </c>
      <c r="CX70" s="422"/>
      <c r="CY70" s="475"/>
      <c r="CZ70" s="450"/>
      <c r="DA70" s="394"/>
      <c r="DB70" s="394"/>
      <c r="DC70" s="347"/>
      <c r="DD70" s="394"/>
      <c r="DE70" s="394"/>
      <c r="DF70" s="394"/>
      <c r="DG70" s="394"/>
      <c r="DH70" s="394"/>
    </row>
    <row r="71" spans="1:112" x14ac:dyDescent="0.25">
      <c r="A71" s="179">
        <v>218</v>
      </c>
      <c r="B71" s="181" t="s">
        <v>106</v>
      </c>
      <c r="C71" s="373">
        <v>1245</v>
      </c>
      <c r="D71" s="360">
        <v>22</v>
      </c>
      <c r="E71" s="213"/>
      <c r="G71" s="363">
        <v>1062</v>
      </c>
      <c r="H71" s="363">
        <v>10202</v>
      </c>
      <c r="I71" s="349"/>
      <c r="J71" s="363">
        <v>3270</v>
      </c>
      <c r="K71" s="363">
        <v>282</v>
      </c>
      <c r="L71" s="363">
        <v>286</v>
      </c>
      <c r="M71" s="363">
        <v>3838</v>
      </c>
      <c r="N71" s="363">
        <v>4854</v>
      </c>
      <c r="O71" s="363">
        <v>0</v>
      </c>
      <c r="P71" s="363">
        <v>20</v>
      </c>
      <c r="Q71" s="363">
        <v>7</v>
      </c>
      <c r="R71" s="363">
        <v>0</v>
      </c>
      <c r="S71" s="363">
        <v>-461</v>
      </c>
      <c r="U71" s="363">
        <v>271</v>
      </c>
      <c r="V71" s="363">
        <v>0</v>
      </c>
      <c r="W71" s="363">
        <v>0</v>
      </c>
      <c r="X71" s="363">
        <v>-732</v>
      </c>
      <c r="Y71" s="363">
        <v>0</v>
      </c>
      <c r="Z71" s="363">
        <v>0</v>
      </c>
      <c r="AA71" s="363">
        <v>0</v>
      </c>
      <c r="AB71" s="363">
        <v>-732</v>
      </c>
      <c r="AD71" s="363">
        <v>1125</v>
      </c>
      <c r="AG71" s="363">
        <v>-432</v>
      </c>
      <c r="AH71" s="349"/>
      <c r="AJ71" s="363">
        <v>533</v>
      </c>
      <c r="AL71" s="363">
        <v>1878</v>
      </c>
      <c r="AN71" s="349"/>
      <c r="AO71" s="454">
        <v>1207</v>
      </c>
      <c r="AP71" s="478">
        <v>22</v>
      </c>
      <c r="AQ71" s="213"/>
      <c r="AS71" s="509">
        <v>1137</v>
      </c>
      <c r="AT71" s="349">
        <v>9291</v>
      </c>
      <c r="AU71" s="480">
        <v>-8154</v>
      </c>
      <c r="AV71" s="199">
        <v>3557</v>
      </c>
      <c r="AW71" s="199">
        <v>329</v>
      </c>
      <c r="AX71" s="199">
        <v>259</v>
      </c>
      <c r="AY71" s="199">
        <v>4145</v>
      </c>
      <c r="AZ71" s="199">
        <v>5838</v>
      </c>
      <c r="BA71" s="181">
        <v>1</v>
      </c>
      <c r="BB71" s="511">
        <v>18</v>
      </c>
      <c r="BC71" s="181">
        <v>7</v>
      </c>
      <c r="BD71" s="181">
        <v>0</v>
      </c>
      <c r="BE71" s="199">
        <v>1819</v>
      </c>
      <c r="BG71" s="183">
        <v>329</v>
      </c>
      <c r="BH71" s="183">
        <v>0</v>
      </c>
      <c r="BI71" s="183">
        <v>0</v>
      </c>
      <c r="BJ71" s="199">
        <v>1490</v>
      </c>
      <c r="BK71" s="183">
        <v>0</v>
      </c>
      <c r="BL71" s="183">
        <v>0</v>
      </c>
      <c r="BM71" s="183">
        <v>0</v>
      </c>
      <c r="BN71" s="199">
        <v>1490</v>
      </c>
      <c r="BP71" s="199">
        <v>2615</v>
      </c>
      <c r="BS71" s="211"/>
      <c r="BV71" s="514">
        <v>2274</v>
      </c>
      <c r="BX71" s="181">
        <v>2399</v>
      </c>
      <c r="BZ71" s="349"/>
      <c r="CB71" s="340"/>
      <c r="CC71" s="488">
        <v>22</v>
      </c>
      <c r="CD71" s="378"/>
      <c r="CE71" s="378"/>
      <c r="CF71" s="195"/>
      <c r="CG71" s="349"/>
      <c r="CI71" s="181">
        <v>4078</v>
      </c>
      <c r="CJ71" s="183">
        <v>0</v>
      </c>
      <c r="CK71" s="421">
        <v>5412.0053106108435</v>
      </c>
      <c r="CL71" s="494">
        <v>5412.9499174172088</v>
      </c>
      <c r="CM71" s="483">
        <v>923.08794784099632</v>
      </c>
      <c r="CN71" s="483">
        <v>867.9920773182821</v>
      </c>
      <c r="CO71" s="483">
        <v>753.29525910364282</v>
      </c>
      <c r="CP71" s="433">
        <f t="shared" si="1"/>
        <v>-558.00531061084348</v>
      </c>
      <c r="CQ71" s="212"/>
      <c r="CR71" s="212">
        <v>0</v>
      </c>
      <c r="CS71" s="212">
        <v>-144</v>
      </c>
      <c r="CT71" s="183">
        <v>5</v>
      </c>
      <c r="CU71" s="183">
        <v>6</v>
      </c>
      <c r="CV71" s="485">
        <v>0</v>
      </c>
      <c r="CX71" s="422"/>
      <c r="CY71" s="475"/>
      <c r="CZ71" s="450"/>
      <c r="DA71" s="394"/>
      <c r="DB71" s="394"/>
      <c r="DC71" s="347"/>
      <c r="DD71" s="394"/>
      <c r="DE71" s="394"/>
      <c r="DF71" s="394"/>
      <c r="DG71" s="394"/>
      <c r="DH71" s="394"/>
    </row>
    <row r="72" spans="1:112" x14ac:dyDescent="0.25">
      <c r="A72" s="179">
        <v>224</v>
      </c>
      <c r="B72" s="181" t="s">
        <v>107</v>
      </c>
      <c r="C72" s="373">
        <v>8714</v>
      </c>
      <c r="D72" s="360">
        <v>20.75</v>
      </c>
      <c r="E72" s="213"/>
      <c r="G72" s="363">
        <v>6508</v>
      </c>
      <c r="H72" s="363">
        <v>55601</v>
      </c>
      <c r="I72" s="349"/>
      <c r="J72" s="363">
        <v>27314</v>
      </c>
      <c r="K72" s="363">
        <v>1218</v>
      </c>
      <c r="L72" s="363">
        <v>2248</v>
      </c>
      <c r="M72" s="363">
        <v>30780</v>
      </c>
      <c r="N72" s="363">
        <v>18097</v>
      </c>
      <c r="O72" s="363">
        <v>2</v>
      </c>
      <c r="P72" s="363">
        <v>497</v>
      </c>
      <c r="Q72" s="363">
        <v>126</v>
      </c>
      <c r="R72" s="363">
        <v>19</v>
      </c>
      <c r="S72" s="363">
        <v>-604</v>
      </c>
      <c r="U72" s="363">
        <v>2897</v>
      </c>
      <c r="V72" s="363">
        <v>0</v>
      </c>
      <c r="W72" s="363">
        <v>0</v>
      </c>
      <c r="X72" s="363">
        <v>-3501</v>
      </c>
      <c r="Y72" s="363">
        <v>0</v>
      </c>
      <c r="Z72" s="363">
        <v>0</v>
      </c>
      <c r="AA72" s="363">
        <v>0</v>
      </c>
      <c r="AB72" s="363">
        <v>-3501</v>
      </c>
      <c r="AD72" s="363">
        <v>-2742</v>
      </c>
      <c r="AG72" s="363">
        <v>-2322</v>
      </c>
      <c r="AH72" s="349"/>
      <c r="AJ72" s="363">
        <v>2283</v>
      </c>
      <c r="AL72" s="363">
        <v>59939</v>
      </c>
      <c r="AN72" s="349"/>
      <c r="AO72" s="454">
        <v>8696</v>
      </c>
      <c r="AP72" s="478">
        <v>20.75</v>
      </c>
      <c r="AQ72" s="213"/>
      <c r="AS72" s="509">
        <v>6899</v>
      </c>
      <c r="AT72" s="349">
        <v>57073</v>
      </c>
      <c r="AU72" s="480">
        <v>-50174</v>
      </c>
      <c r="AV72" s="199">
        <v>28608</v>
      </c>
      <c r="AW72" s="199">
        <v>1287</v>
      </c>
      <c r="AX72" s="199">
        <v>2074</v>
      </c>
      <c r="AY72" s="199">
        <v>31969</v>
      </c>
      <c r="AZ72" s="199">
        <v>23058</v>
      </c>
      <c r="BA72" s="181">
        <v>9</v>
      </c>
      <c r="BB72" s="511">
        <v>411</v>
      </c>
      <c r="BC72" s="181">
        <v>130</v>
      </c>
      <c r="BD72" s="181">
        <v>2</v>
      </c>
      <c r="BE72" s="199">
        <v>4579</v>
      </c>
      <c r="BG72" s="183">
        <v>2935</v>
      </c>
      <c r="BH72" s="183">
        <v>0</v>
      </c>
      <c r="BI72" s="183">
        <v>0</v>
      </c>
      <c r="BJ72" s="199">
        <v>1644</v>
      </c>
      <c r="BK72" s="183">
        <v>0</v>
      </c>
      <c r="BL72" s="183">
        <v>0</v>
      </c>
      <c r="BM72" s="183">
        <v>0</v>
      </c>
      <c r="BN72" s="199">
        <v>1644</v>
      </c>
      <c r="BP72" s="199">
        <v>-1098</v>
      </c>
      <c r="BS72" s="211"/>
      <c r="BV72" s="514">
        <v>3307</v>
      </c>
      <c r="BX72" s="181">
        <v>58007</v>
      </c>
      <c r="BZ72" s="349"/>
      <c r="CB72" s="340"/>
      <c r="CC72" s="488">
        <v>20.75</v>
      </c>
      <c r="CD72" s="378"/>
      <c r="CE72" s="378"/>
      <c r="CF72" s="195"/>
      <c r="CG72" s="349"/>
      <c r="CH72" s="347"/>
      <c r="CI72" s="181">
        <v>12675</v>
      </c>
      <c r="CJ72" s="183">
        <v>0</v>
      </c>
      <c r="CK72" s="421">
        <v>20758.782933305829</v>
      </c>
      <c r="CL72" s="494">
        <v>22186.365150752386</v>
      </c>
      <c r="CM72" s="483">
        <v>2608.0512882274743</v>
      </c>
      <c r="CN72" s="483">
        <v>2728.1910595114859</v>
      </c>
      <c r="CO72" s="483">
        <v>2688.0277045485527</v>
      </c>
      <c r="CP72" s="433">
        <f t="shared" si="1"/>
        <v>-2661.7829333058289</v>
      </c>
      <c r="CQ72" s="212"/>
      <c r="CR72" s="212">
        <v>-271</v>
      </c>
      <c r="CS72" s="212">
        <v>-1401</v>
      </c>
      <c r="CT72" s="183">
        <v>22</v>
      </c>
      <c r="CU72" s="183">
        <v>285</v>
      </c>
      <c r="CV72" s="485">
        <v>0</v>
      </c>
      <c r="CX72" s="422"/>
      <c r="CY72" s="475"/>
      <c r="CZ72" s="450"/>
      <c r="DA72" s="394"/>
      <c r="DB72" s="394"/>
      <c r="DC72" s="347"/>
      <c r="DD72" s="394"/>
      <c r="DE72" s="394"/>
      <c r="DF72" s="394"/>
      <c r="DG72" s="394"/>
      <c r="DH72" s="394"/>
    </row>
    <row r="73" spans="1:112" x14ac:dyDescent="0.25">
      <c r="A73" s="179">
        <v>226</v>
      </c>
      <c r="B73" s="181" t="s">
        <v>108</v>
      </c>
      <c r="C73" s="373">
        <v>3949</v>
      </c>
      <c r="D73" s="360">
        <v>21.5</v>
      </c>
      <c r="E73" s="213"/>
      <c r="G73" s="363">
        <v>4640</v>
      </c>
      <c r="H73" s="363">
        <v>34950</v>
      </c>
      <c r="I73" s="349"/>
      <c r="J73" s="363">
        <v>10075</v>
      </c>
      <c r="K73" s="363">
        <v>1373</v>
      </c>
      <c r="L73" s="363">
        <v>1089</v>
      </c>
      <c r="M73" s="363">
        <v>12537</v>
      </c>
      <c r="N73" s="363">
        <v>14685</v>
      </c>
      <c r="O73" s="363">
        <v>52</v>
      </c>
      <c r="P73" s="363">
        <v>1</v>
      </c>
      <c r="Q73" s="363">
        <v>32</v>
      </c>
      <c r="R73" s="363">
        <v>0</v>
      </c>
      <c r="S73" s="363">
        <v>-3005</v>
      </c>
      <c r="U73" s="363">
        <v>1890</v>
      </c>
      <c r="V73" s="363">
        <v>0</v>
      </c>
      <c r="W73" s="363">
        <v>0</v>
      </c>
      <c r="X73" s="363">
        <v>-4895</v>
      </c>
      <c r="Y73" s="363">
        <v>0</v>
      </c>
      <c r="Z73" s="363">
        <v>0</v>
      </c>
      <c r="AA73" s="363">
        <v>0</v>
      </c>
      <c r="AB73" s="363">
        <v>-4895</v>
      </c>
      <c r="AD73" s="363">
        <v>-843</v>
      </c>
      <c r="AG73" s="363">
        <v>-757</v>
      </c>
      <c r="AH73" s="349"/>
      <c r="AJ73" s="363">
        <v>9679</v>
      </c>
      <c r="AL73" s="363">
        <v>13000</v>
      </c>
      <c r="AN73" s="349"/>
      <c r="AO73" s="454">
        <v>3858</v>
      </c>
      <c r="AP73" s="478">
        <v>21.5</v>
      </c>
      <c r="AQ73" s="213"/>
      <c r="AS73" s="509">
        <v>4225</v>
      </c>
      <c r="AT73" s="349">
        <v>29314</v>
      </c>
      <c r="AU73" s="480">
        <v>-25089</v>
      </c>
      <c r="AV73" s="199">
        <v>10149</v>
      </c>
      <c r="AW73" s="199">
        <v>1524</v>
      </c>
      <c r="AX73" s="199">
        <v>990</v>
      </c>
      <c r="AY73" s="199">
        <v>12663</v>
      </c>
      <c r="AZ73" s="199">
        <v>16547</v>
      </c>
      <c r="BA73" s="181">
        <v>54</v>
      </c>
      <c r="BB73" s="511">
        <v>1</v>
      </c>
      <c r="BC73" s="181">
        <v>14</v>
      </c>
      <c r="BD73" s="181">
        <v>0</v>
      </c>
      <c r="BE73" s="199">
        <v>4188</v>
      </c>
      <c r="BG73" s="183">
        <v>1987</v>
      </c>
      <c r="BH73" s="183">
        <v>0</v>
      </c>
      <c r="BI73" s="183">
        <v>0</v>
      </c>
      <c r="BJ73" s="199">
        <v>2201</v>
      </c>
      <c r="BK73" s="183">
        <v>0</v>
      </c>
      <c r="BL73" s="183">
        <v>0</v>
      </c>
      <c r="BM73" s="199">
        <v>0</v>
      </c>
      <c r="BN73" s="199">
        <v>2201</v>
      </c>
      <c r="BP73" s="199">
        <v>1359</v>
      </c>
      <c r="BS73" s="211"/>
      <c r="BV73" s="514">
        <v>9403</v>
      </c>
      <c r="BX73" s="181">
        <v>13000</v>
      </c>
      <c r="BZ73" s="349"/>
      <c r="CB73" s="340"/>
      <c r="CC73" s="488">
        <v>21.5</v>
      </c>
      <c r="CD73" s="378"/>
      <c r="CE73" s="378"/>
      <c r="CF73" s="195"/>
      <c r="CG73" s="349"/>
      <c r="CI73" s="181">
        <v>13386</v>
      </c>
      <c r="CJ73" s="183">
        <v>0</v>
      </c>
      <c r="CK73" s="421">
        <v>15606.871391203787</v>
      </c>
      <c r="CL73" s="494">
        <v>16719.51385113478</v>
      </c>
      <c r="CM73" s="483">
        <v>4043.8090075801656</v>
      </c>
      <c r="CN73" s="483">
        <v>3957.7789251185477</v>
      </c>
      <c r="CO73" s="483">
        <v>3718.6388990277433</v>
      </c>
      <c r="CP73" s="433">
        <f t="shared" si="1"/>
        <v>-921.87139120378743</v>
      </c>
      <c r="CQ73" s="212"/>
      <c r="CR73" s="212">
        <v>-4202</v>
      </c>
      <c r="CS73" s="212">
        <v>-691</v>
      </c>
      <c r="CT73" s="183">
        <v>279</v>
      </c>
      <c r="CU73" s="183">
        <v>90</v>
      </c>
      <c r="CV73" s="485">
        <v>-148</v>
      </c>
      <c r="CX73" s="422"/>
      <c r="CY73" s="475"/>
      <c r="CZ73" s="450"/>
      <c r="DA73" s="394"/>
      <c r="DB73" s="394"/>
      <c r="DC73" s="347"/>
      <c r="DD73" s="394"/>
      <c r="DE73" s="394"/>
      <c r="DF73" s="394"/>
      <c r="DG73" s="394"/>
      <c r="DH73" s="394"/>
    </row>
    <row r="74" spans="1:112" x14ac:dyDescent="0.25">
      <c r="A74" s="179">
        <v>230</v>
      </c>
      <c r="B74" s="181" t="s">
        <v>109</v>
      </c>
      <c r="C74" s="373">
        <v>2342</v>
      </c>
      <c r="D74" s="360">
        <v>20.5</v>
      </c>
      <c r="E74" s="213"/>
      <c r="G74" s="363">
        <v>1191</v>
      </c>
      <c r="H74" s="363">
        <v>16665</v>
      </c>
      <c r="I74" s="349"/>
      <c r="J74" s="363">
        <v>5453</v>
      </c>
      <c r="K74" s="363">
        <v>637</v>
      </c>
      <c r="L74" s="363">
        <v>724</v>
      </c>
      <c r="M74" s="363">
        <v>6814</v>
      </c>
      <c r="N74" s="363">
        <v>7851</v>
      </c>
      <c r="O74" s="363">
        <v>0</v>
      </c>
      <c r="P74" s="363">
        <v>36</v>
      </c>
      <c r="Q74" s="363">
        <v>268</v>
      </c>
      <c r="R74" s="363">
        <v>0</v>
      </c>
      <c r="S74" s="363">
        <v>-577</v>
      </c>
      <c r="U74" s="363">
        <v>903</v>
      </c>
      <c r="V74" s="363">
        <v>0</v>
      </c>
      <c r="W74" s="363">
        <v>0</v>
      </c>
      <c r="X74" s="363">
        <v>-1480</v>
      </c>
      <c r="Y74" s="363">
        <v>0</v>
      </c>
      <c r="Z74" s="363">
        <v>0</v>
      </c>
      <c r="AA74" s="363">
        <v>0</v>
      </c>
      <c r="AB74" s="363">
        <v>-1480</v>
      </c>
      <c r="AD74" s="363">
        <v>6992</v>
      </c>
      <c r="AG74" s="363">
        <v>-338</v>
      </c>
      <c r="AH74" s="349"/>
      <c r="AJ74" s="363">
        <v>1084</v>
      </c>
      <c r="AL74" s="363">
        <v>2779</v>
      </c>
      <c r="AN74" s="349"/>
      <c r="AO74" s="454">
        <v>2322</v>
      </c>
      <c r="AP74" s="478">
        <v>20.5</v>
      </c>
      <c r="AQ74" s="213"/>
      <c r="AS74" s="509">
        <v>1190</v>
      </c>
      <c r="AT74" s="349">
        <v>15807</v>
      </c>
      <c r="AU74" s="480">
        <v>-14617</v>
      </c>
      <c r="AV74" s="199">
        <v>5551</v>
      </c>
      <c r="AW74" s="199">
        <v>689</v>
      </c>
      <c r="AX74" s="199">
        <v>667</v>
      </c>
      <c r="AY74" s="199">
        <v>6907</v>
      </c>
      <c r="AZ74" s="199">
        <v>9070</v>
      </c>
      <c r="BA74" s="181">
        <v>0</v>
      </c>
      <c r="BB74" s="511">
        <v>32</v>
      </c>
      <c r="BC74" s="181">
        <v>264</v>
      </c>
      <c r="BD74" s="181">
        <v>0</v>
      </c>
      <c r="BE74" s="199">
        <v>1592</v>
      </c>
      <c r="BG74" s="183">
        <v>840</v>
      </c>
      <c r="BH74" s="183">
        <v>0</v>
      </c>
      <c r="BI74" s="183">
        <v>0</v>
      </c>
      <c r="BJ74" s="199">
        <v>752</v>
      </c>
      <c r="BK74" s="199">
        <v>0</v>
      </c>
      <c r="BL74" s="183">
        <v>0</v>
      </c>
      <c r="BM74" s="183">
        <v>0</v>
      </c>
      <c r="BN74" s="199">
        <v>752</v>
      </c>
      <c r="BP74" s="199">
        <v>7743</v>
      </c>
      <c r="BS74" s="211"/>
      <c r="BV74" s="514">
        <v>1962</v>
      </c>
      <c r="BX74" s="181">
        <v>2431</v>
      </c>
      <c r="BZ74" s="349"/>
      <c r="CB74" s="340"/>
      <c r="CC74" s="488">
        <v>20.5</v>
      </c>
      <c r="CD74" s="378"/>
      <c r="CE74" s="378"/>
      <c r="CF74" s="195"/>
      <c r="CG74" s="349"/>
      <c r="CI74" s="181">
        <v>7817</v>
      </c>
      <c r="CJ74" s="183">
        <v>0</v>
      </c>
      <c r="CK74" s="421">
        <v>8591.1174269169678</v>
      </c>
      <c r="CL74" s="494">
        <v>8739.9810754398877</v>
      </c>
      <c r="CM74" s="483">
        <v>1324.0264386895358</v>
      </c>
      <c r="CN74" s="483">
        <v>1457.9969348871523</v>
      </c>
      <c r="CO74" s="483">
        <v>1504.4309067982474</v>
      </c>
      <c r="CP74" s="433">
        <f t="shared" si="1"/>
        <v>-740.11742691696782</v>
      </c>
      <c r="CQ74" s="212"/>
      <c r="CR74" s="212">
        <v>0</v>
      </c>
      <c r="CS74" s="212">
        <v>-277</v>
      </c>
      <c r="CT74" s="183">
        <v>0</v>
      </c>
      <c r="CU74" s="183">
        <v>1</v>
      </c>
      <c r="CV74" s="485">
        <v>-2</v>
      </c>
      <c r="CX74" s="422"/>
      <c r="CY74" s="475"/>
      <c r="CZ74" s="450"/>
      <c r="DA74" s="394"/>
      <c r="DB74" s="394"/>
      <c r="DC74" s="347"/>
      <c r="DD74" s="394"/>
      <c r="DE74" s="394"/>
      <c r="DF74" s="394"/>
      <c r="DG74" s="394"/>
      <c r="DH74" s="394"/>
    </row>
    <row r="75" spans="1:112" x14ac:dyDescent="0.25">
      <c r="A75" s="179">
        <v>231</v>
      </c>
      <c r="B75" s="181" t="s">
        <v>110</v>
      </c>
      <c r="C75" s="373">
        <v>1246</v>
      </c>
      <c r="D75" s="360">
        <v>22</v>
      </c>
      <c r="E75" s="213"/>
      <c r="G75" s="363">
        <v>3068</v>
      </c>
      <c r="H75" s="363">
        <v>11721</v>
      </c>
      <c r="I75" s="349"/>
      <c r="J75" s="363">
        <v>4745</v>
      </c>
      <c r="K75" s="363">
        <v>749</v>
      </c>
      <c r="L75" s="363">
        <v>866</v>
      </c>
      <c r="M75" s="363">
        <v>6360</v>
      </c>
      <c r="N75" s="363">
        <v>1832</v>
      </c>
      <c r="O75" s="363">
        <v>0</v>
      </c>
      <c r="P75" s="363">
        <v>45</v>
      </c>
      <c r="Q75" s="363">
        <v>2</v>
      </c>
      <c r="R75" s="363">
        <v>1</v>
      </c>
      <c r="S75" s="363">
        <v>-505</v>
      </c>
      <c r="U75" s="363">
        <v>955</v>
      </c>
      <c r="V75" s="363">
        <v>0</v>
      </c>
      <c r="W75" s="363">
        <v>0</v>
      </c>
      <c r="X75" s="363">
        <v>-1460</v>
      </c>
      <c r="Y75" s="363">
        <v>0</v>
      </c>
      <c r="Z75" s="363">
        <v>0</v>
      </c>
      <c r="AA75" s="363">
        <v>0</v>
      </c>
      <c r="AB75" s="363">
        <v>-1460</v>
      </c>
      <c r="AD75" s="363">
        <v>5732</v>
      </c>
      <c r="AG75" s="363">
        <v>-499</v>
      </c>
      <c r="AH75" s="349"/>
      <c r="AJ75" s="363">
        <v>26</v>
      </c>
      <c r="AL75" s="363">
        <v>4882</v>
      </c>
      <c r="AN75" s="349"/>
      <c r="AO75" s="454">
        <v>1278</v>
      </c>
      <c r="AP75" s="478">
        <v>22</v>
      </c>
      <c r="AQ75" s="213"/>
      <c r="AS75" s="509">
        <v>2953</v>
      </c>
      <c r="AT75" s="349">
        <v>11965</v>
      </c>
      <c r="AU75" s="480">
        <v>-9012</v>
      </c>
      <c r="AV75" s="199">
        <v>4907</v>
      </c>
      <c r="AW75" s="199">
        <v>814</v>
      </c>
      <c r="AX75" s="199">
        <v>675</v>
      </c>
      <c r="AY75" s="199">
        <v>6396</v>
      </c>
      <c r="AZ75" s="199">
        <v>2685</v>
      </c>
      <c r="BA75" s="181">
        <v>15</v>
      </c>
      <c r="BB75" s="511">
        <v>36</v>
      </c>
      <c r="BC75" s="181">
        <v>8</v>
      </c>
      <c r="BD75" s="181">
        <v>0</v>
      </c>
      <c r="BE75" s="199">
        <v>56</v>
      </c>
      <c r="BG75" s="183">
        <v>1059</v>
      </c>
      <c r="BH75" s="183">
        <v>0</v>
      </c>
      <c r="BI75" s="183">
        <v>0</v>
      </c>
      <c r="BJ75" s="199">
        <v>-1003</v>
      </c>
      <c r="BK75" s="199">
        <v>0</v>
      </c>
      <c r="BL75" s="199">
        <v>0</v>
      </c>
      <c r="BM75" s="183">
        <v>0</v>
      </c>
      <c r="BN75" s="199">
        <v>-1003</v>
      </c>
      <c r="BP75" s="199">
        <v>4776</v>
      </c>
      <c r="BS75" s="211"/>
      <c r="BV75" s="514">
        <v>336</v>
      </c>
      <c r="BX75" s="181">
        <v>5948</v>
      </c>
      <c r="BZ75" s="349"/>
      <c r="CB75" s="340"/>
      <c r="CC75" s="488">
        <v>22</v>
      </c>
      <c r="CD75" s="378"/>
      <c r="CE75" s="378"/>
      <c r="CF75" s="195"/>
      <c r="CG75" s="349"/>
      <c r="CH75" s="347"/>
      <c r="CI75" s="181">
        <v>151</v>
      </c>
      <c r="CJ75" s="183">
        <v>0</v>
      </c>
      <c r="CK75" s="421">
        <v>2441.1325660749771</v>
      </c>
      <c r="CL75" s="494">
        <v>2724.5748403420175</v>
      </c>
      <c r="CM75" s="483">
        <v>164.91976441876676</v>
      </c>
      <c r="CN75" s="483">
        <v>223.27909931818016</v>
      </c>
      <c r="CO75" s="483">
        <v>277.39406465929699</v>
      </c>
      <c r="CP75" s="433">
        <f t="shared" si="1"/>
        <v>-609.13256607497715</v>
      </c>
      <c r="CQ75" s="212"/>
      <c r="CR75" s="212">
        <v>-28</v>
      </c>
      <c r="CS75" s="212">
        <v>-779</v>
      </c>
      <c r="CT75" s="183">
        <v>0</v>
      </c>
      <c r="CU75" s="183">
        <v>180</v>
      </c>
      <c r="CV75" s="485">
        <v>35</v>
      </c>
      <c r="CX75" s="422"/>
      <c r="CY75" s="475"/>
      <c r="CZ75" s="450"/>
      <c r="DA75" s="394"/>
      <c r="DB75" s="394"/>
      <c r="DC75" s="347"/>
      <c r="DD75" s="394"/>
      <c r="DE75" s="394"/>
      <c r="DF75" s="394"/>
      <c r="DG75" s="394"/>
      <c r="DH75" s="394"/>
    </row>
    <row r="76" spans="1:112" x14ac:dyDescent="0.25">
      <c r="A76" s="179">
        <v>232</v>
      </c>
      <c r="B76" s="181" t="s">
        <v>111</v>
      </c>
      <c r="C76" s="373">
        <v>13184</v>
      </c>
      <c r="D76" s="360">
        <v>22</v>
      </c>
      <c r="E76" s="213"/>
      <c r="G76" s="363">
        <v>45975</v>
      </c>
      <c r="H76" s="363">
        <v>128991</v>
      </c>
      <c r="I76" s="349"/>
      <c r="J76" s="363">
        <v>37263</v>
      </c>
      <c r="K76" s="363">
        <v>3936</v>
      </c>
      <c r="L76" s="363">
        <v>3599</v>
      </c>
      <c r="M76" s="363">
        <v>44798</v>
      </c>
      <c r="N76" s="363">
        <v>39736</v>
      </c>
      <c r="O76" s="363">
        <v>10</v>
      </c>
      <c r="P76" s="363">
        <v>700</v>
      </c>
      <c r="Q76" s="363">
        <v>10011</v>
      </c>
      <c r="R76" s="363">
        <v>51</v>
      </c>
      <c r="S76" s="363">
        <v>10788</v>
      </c>
      <c r="U76" s="363">
        <v>4940</v>
      </c>
      <c r="V76" s="363">
        <v>0</v>
      </c>
      <c r="W76" s="363">
        <v>0</v>
      </c>
      <c r="X76" s="363">
        <v>5848</v>
      </c>
      <c r="Y76" s="363">
        <v>37</v>
      </c>
      <c r="Z76" s="363">
        <v>0</v>
      </c>
      <c r="AA76" s="363">
        <v>0</v>
      </c>
      <c r="AB76" s="363">
        <v>5885</v>
      </c>
      <c r="AD76" s="363">
        <v>-7315</v>
      </c>
      <c r="AG76" s="363">
        <v>-5424</v>
      </c>
      <c r="AH76" s="349"/>
      <c r="AJ76" s="363">
        <v>21809</v>
      </c>
      <c r="AL76" s="363">
        <v>65179</v>
      </c>
      <c r="AN76" s="349"/>
      <c r="AO76" s="454">
        <v>13007</v>
      </c>
      <c r="AP76" s="478">
        <v>22</v>
      </c>
      <c r="AQ76" s="213"/>
      <c r="AS76" s="509">
        <v>46338</v>
      </c>
      <c r="AT76" s="349">
        <v>131571</v>
      </c>
      <c r="AU76" s="480">
        <v>-85233</v>
      </c>
      <c r="AV76" s="199">
        <v>38875</v>
      </c>
      <c r="AW76" s="199">
        <v>4009</v>
      </c>
      <c r="AX76" s="199">
        <v>3272</v>
      </c>
      <c r="AY76" s="199">
        <v>46156</v>
      </c>
      <c r="AZ76" s="199">
        <v>44372</v>
      </c>
      <c r="BA76" s="181">
        <v>6</v>
      </c>
      <c r="BB76" s="511">
        <v>624</v>
      </c>
      <c r="BC76" s="181">
        <v>1249</v>
      </c>
      <c r="BD76" s="181">
        <v>525</v>
      </c>
      <c r="BE76" s="199">
        <v>5401</v>
      </c>
      <c r="BG76" s="183">
        <v>4754</v>
      </c>
      <c r="BH76" s="183">
        <v>0</v>
      </c>
      <c r="BI76" s="183">
        <v>0</v>
      </c>
      <c r="BJ76" s="199">
        <v>647</v>
      </c>
      <c r="BK76" s="199">
        <v>35</v>
      </c>
      <c r="BL76" s="183">
        <v>0</v>
      </c>
      <c r="BM76" s="183">
        <v>0</v>
      </c>
      <c r="BN76" s="199">
        <v>682</v>
      </c>
      <c r="BP76" s="199">
        <v>-6633</v>
      </c>
      <c r="BS76" s="211"/>
      <c r="BV76" s="514">
        <v>24251</v>
      </c>
      <c r="BX76" s="181">
        <v>65420</v>
      </c>
      <c r="BZ76" s="349"/>
      <c r="CB76" s="340"/>
      <c r="CC76" s="488">
        <v>22</v>
      </c>
      <c r="CD76" s="378"/>
      <c r="CE76" s="378"/>
      <c r="CF76" s="195"/>
      <c r="CG76" s="349"/>
      <c r="CH76" s="347"/>
      <c r="CI76" s="181">
        <v>32678</v>
      </c>
      <c r="CJ76" s="183">
        <v>940</v>
      </c>
      <c r="CK76" s="421">
        <v>42814.287218885525</v>
      </c>
      <c r="CL76" s="494">
        <v>44817.707208301348</v>
      </c>
      <c r="CM76" s="483">
        <v>11747.740621467266</v>
      </c>
      <c r="CN76" s="483">
        <v>11828.249546710756</v>
      </c>
      <c r="CO76" s="483">
        <v>11403.672873817095</v>
      </c>
      <c r="CP76" s="433">
        <f t="shared" si="1"/>
        <v>-3078.2872188855254</v>
      </c>
      <c r="CQ76" s="212"/>
      <c r="CR76" s="212">
        <v>70</v>
      </c>
      <c r="CS76" s="212">
        <v>-5706</v>
      </c>
      <c r="CT76" s="183">
        <v>0</v>
      </c>
      <c r="CU76" s="183">
        <v>257</v>
      </c>
      <c r="CV76" s="485">
        <v>168</v>
      </c>
      <c r="CX76" s="422"/>
      <c r="CY76" s="475"/>
      <c r="CZ76" s="450"/>
      <c r="DA76" s="394"/>
      <c r="DB76" s="394"/>
      <c r="DC76" s="347"/>
      <c r="DD76" s="394"/>
      <c r="DE76" s="394"/>
      <c r="DF76" s="394"/>
      <c r="DG76" s="394"/>
      <c r="DH76" s="394"/>
    </row>
    <row r="77" spans="1:112" x14ac:dyDescent="0.25">
      <c r="A77" s="179">
        <v>233</v>
      </c>
      <c r="B77" s="181" t="s">
        <v>112</v>
      </c>
      <c r="C77" s="373">
        <v>15726</v>
      </c>
      <c r="D77" s="360">
        <v>21.75</v>
      </c>
      <c r="E77" s="213"/>
      <c r="G77" s="363">
        <v>11198</v>
      </c>
      <c r="H77" s="363">
        <v>115048</v>
      </c>
      <c r="I77" s="349"/>
      <c r="J77" s="363">
        <v>46472</v>
      </c>
      <c r="K77" s="363">
        <v>3262</v>
      </c>
      <c r="L77" s="363">
        <v>3864</v>
      </c>
      <c r="M77" s="363">
        <v>53598</v>
      </c>
      <c r="N77" s="363">
        <v>49532</v>
      </c>
      <c r="O77" s="363">
        <v>56</v>
      </c>
      <c r="P77" s="363">
        <v>340</v>
      </c>
      <c r="Q77" s="363">
        <v>388</v>
      </c>
      <c r="R77" s="363">
        <v>23</v>
      </c>
      <c r="S77" s="363">
        <v>-639</v>
      </c>
      <c r="U77" s="363">
        <v>8008</v>
      </c>
      <c r="V77" s="363">
        <v>0</v>
      </c>
      <c r="W77" s="363">
        <v>0</v>
      </c>
      <c r="X77" s="363">
        <v>-8647</v>
      </c>
      <c r="Y77" s="363">
        <v>1738</v>
      </c>
      <c r="Z77" s="363">
        <v>0</v>
      </c>
      <c r="AA77" s="363">
        <v>75</v>
      </c>
      <c r="AB77" s="363">
        <v>-6834</v>
      </c>
      <c r="AD77" s="363">
        <v>2393</v>
      </c>
      <c r="AG77" s="363">
        <v>-8824</v>
      </c>
      <c r="AH77" s="349"/>
      <c r="AJ77" s="363">
        <v>16329</v>
      </c>
      <c r="AL77" s="363">
        <v>53463</v>
      </c>
      <c r="AN77" s="349"/>
      <c r="AO77" s="454">
        <v>15514</v>
      </c>
      <c r="AP77" s="478">
        <v>21.75</v>
      </c>
      <c r="AQ77" s="213"/>
      <c r="AS77" s="509">
        <v>9950</v>
      </c>
      <c r="AT77" s="349">
        <v>111339</v>
      </c>
      <c r="AU77" s="480">
        <v>-101389</v>
      </c>
      <c r="AV77" s="199">
        <v>47212</v>
      </c>
      <c r="AW77" s="199">
        <v>3490</v>
      </c>
      <c r="AX77" s="199">
        <v>3670</v>
      </c>
      <c r="AY77" s="199">
        <v>54372</v>
      </c>
      <c r="AZ77" s="199">
        <v>57283</v>
      </c>
      <c r="BA77" s="181">
        <v>57</v>
      </c>
      <c r="BB77" s="511">
        <v>289</v>
      </c>
      <c r="BC77" s="181">
        <v>385</v>
      </c>
      <c r="BD77" s="181">
        <v>36</v>
      </c>
      <c r="BE77" s="199">
        <v>10383</v>
      </c>
      <c r="BG77" s="183">
        <v>6231</v>
      </c>
      <c r="BH77" s="199">
        <v>0</v>
      </c>
      <c r="BI77" s="183">
        <v>0</v>
      </c>
      <c r="BJ77" s="199">
        <v>4152</v>
      </c>
      <c r="BK77" s="183">
        <v>194</v>
      </c>
      <c r="BL77" s="183">
        <v>0</v>
      </c>
      <c r="BM77" s="183">
        <v>70</v>
      </c>
      <c r="BN77" s="199">
        <v>4416</v>
      </c>
      <c r="BP77" s="199">
        <v>6808</v>
      </c>
      <c r="BS77" s="211"/>
      <c r="BV77" s="514">
        <v>17899</v>
      </c>
      <c r="BX77" s="181">
        <v>63621</v>
      </c>
      <c r="BZ77" s="349"/>
      <c r="CB77" s="340"/>
      <c r="CC77" s="488">
        <v>21.75</v>
      </c>
      <c r="CD77" s="378"/>
      <c r="CE77" s="378"/>
      <c r="CF77" s="195"/>
      <c r="CG77" s="349"/>
      <c r="CI77" s="181">
        <v>40697</v>
      </c>
      <c r="CJ77" s="183">
        <v>0</v>
      </c>
      <c r="CK77" s="421">
        <v>53116.573653463078</v>
      </c>
      <c r="CL77" s="494">
        <v>55535.133773857917</v>
      </c>
      <c r="CM77" s="483">
        <v>13104.725618656779</v>
      </c>
      <c r="CN77" s="483">
        <v>12994.514432905118</v>
      </c>
      <c r="CO77" s="483">
        <v>12512.026155880016</v>
      </c>
      <c r="CP77" s="433">
        <f t="shared" si="1"/>
        <v>-3584.5736534630778</v>
      </c>
      <c r="CQ77" s="212"/>
      <c r="CR77" s="212">
        <v>-4</v>
      </c>
      <c r="CS77" s="212">
        <v>-12385</v>
      </c>
      <c r="CT77" s="183">
        <v>183</v>
      </c>
      <c r="CU77" s="183">
        <v>110</v>
      </c>
      <c r="CV77" s="485">
        <v>466</v>
      </c>
      <c r="CX77" s="422"/>
      <c r="CY77" s="475"/>
      <c r="CZ77" s="450"/>
      <c r="DA77" s="394"/>
      <c r="DB77" s="394"/>
      <c r="DC77" s="347"/>
      <c r="DD77" s="394"/>
      <c r="DE77" s="394"/>
      <c r="DF77" s="394"/>
      <c r="DG77" s="394"/>
      <c r="DH77" s="394"/>
    </row>
    <row r="78" spans="1:112" x14ac:dyDescent="0.25">
      <c r="A78" s="179">
        <v>235</v>
      </c>
      <c r="B78" s="181" t="s">
        <v>113</v>
      </c>
      <c r="C78" s="373">
        <v>9797</v>
      </c>
      <c r="D78" s="360">
        <v>17</v>
      </c>
      <c r="E78" s="213"/>
      <c r="G78" s="363">
        <v>15831</v>
      </c>
      <c r="H78" s="363">
        <v>75027</v>
      </c>
      <c r="I78" s="349"/>
      <c r="J78" s="363">
        <v>61069</v>
      </c>
      <c r="K78" s="363">
        <v>1172</v>
      </c>
      <c r="L78" s="363">
        <v>4752</v>
      </c>
      <c r="M78" s="363">
        <v>66993</v>
      </c>
      <c r="N78" s="363">
        <v>-1864</v>
      </c>
      <c r="O78" s="363">
        <v>233</v>
      </c>
      <c r="P78" s="363">
        <v>1</v>
      </c>
      <c r="Q78" s="363">
        <v>124</v>
      </c>
      <c r="R78" s="363">
        <v>10</v>
      </c>
      <c r="S78" s="363">
        <v>6279</v>
      </c>
      <c r="U78" s="363">
        <v>7799</v>
      </c>
      <c r="V78" s="363">
        <v>0</v>
      </c>
      <c r="W78" s="363">
        <v>0</v>
      </c>
      <c r="X78" s="363">
        <v>-1520</v>
      </c>
      <c r="Y78" s="363">
        <v>0</v>
      </c>
      <c r="Z78" s="363">
        <v>0</v>
      </c>
      <c r="AA78" s="363">
        <v>0</v>
      </c>
      <c r="AB78" s="363">
        <v>-1520</v>
      </c>
      <c r="AD78" s="363">
        <v>52713</v>
      </c>
      <c r="AG78" s="363">
        <v>-8752</v>
      </c>
      <c r="AH78" s="349"/>
      <c r="AJ78" s="363">
        <v>6689</v>
      </c>
      <c r="AL78" s="363">
        <v>2000</v>
      </c>
      <c r="AN78" s="349"/>
      <c r="AO78" s="454">
        <v>10178</v>
      </c>
      <c r="AP78" s="478">
        <v>17</v>
      </c>
      <c r="AQ78" s="213"/>
      <c r="AS78" s="509">
        <v>14069</v>
      </c>
      <c r="AT78" s="349">
        <v>77506</v>
      </c>
      <c r="AU78" s="480">
        <v>-63437</v>
      </c>
      <c r="AV78" s="199">
        <v>63838</v>
      </c>
      <c r="AW78" s="199">
        <v>1060</v>
      </c>
      <c r="AX78" s="199">
        <v>4317</v>
      </c>
      <c r="AY78" s="199">
        <v>69215</v>
      </c>
      <c r="AZ78" s="199">
        <v>4325</v>
      </c>
      <c r="BA78" s="181">
        <v>234</v>
      </c>
      <c r="BB78" s="511">
        <v>9</v>
      </c>
      <c r="BC78" s="181">
        <v>45</v>
      </c>
      <c r="BD78" s="181">
        <v>4</v>
      </c>
      <c r="BE78" s="199">
        <v>10369</v>
      </c>
      <c r="BG78" s="183">
        <v>8716</v>
      </c>
      <c r="BH78" s="183">
        <v>0</v>
      </c>
      <c r="BI78" s="183">
        <v>0</v>
      </c>
      <c r="BJ78" s="199">
        <v>1653</v>
      </c>
      <c r="BK78" s="183">
        <v>0</v>
      </c>
      <c r="BL78" s="183">
        <v>0</v>
      </c>
      <c r="BM78" s="183">
        <v>0</v>
      </c>
      <c r="BN78" s="199">
        <v>1653</v>
      </c>
      <c r="BP78" s="199">
        <v>54368</v>
      </c>
      <c r="BS78" s="211"/>
      <c r="BV78" s="514">
        <v>13311</v>
      </c>
      <c r="BX78" s="181">
        <v>4000</v>
      </c>
      <c r="BZ78" s="349"/>
      <c r="CB78" s="340"/>
      <c r="CC78" s="488">
        <v>17</v>
      </c>
      <c r="CD78" s="378"/>
      <c r="CE78" s="378"/>
      <c r="CF78" s="195"/>
      <c r="CG78" s="349"/>
      <c r="CI78" s="181">
        <v>2668</v>
      </c>
      <c r="CJ78" s="183">
        <v>0</v>
      </c>
      <c r="CK78" s="421">
        <v>1647.6902168064421</v>
      </c>
      <c r="CL78" s="494">
        <v>3400.0983558684584</v>
      </c>
      <c r="CM78" s="483">
        <v>15512.446195540972</v>
      </c>
      <c r="CN78" s="483">
        <v>15464.570844866184</v>
      </c>
      <c r="CO78" s="483">
        <v>15357.126746920851</v>
      </c>
      <c r="CP78" s="433">
        <f t="shared" si="1"/>
        <v>-3511.6902168064421</v>
      </c>
      <c r="CQ78" s="212"/>
      <c r="CR78" s="212">
        <v>-1447</v>
      </c>
      <c r="CS78" s="212">
        <v>-5822</v>
      </c>
      <c r="CT78" s="183">
        <v>0</v>
      </c>
      <c r="CU78" s="183">
        <v>1537</v>
      </c>
      <c r="CV78" s="485">
        <v>67</v>
      </c>
      <c r="CX78" s="422"/>
      <c r="CY78" s="475"/>
      <c r="CZ78" s="450"/>
      <c r="DA78" s="394"/>
      <c r="DB78" s="394"/>
      <c r="DC78" s="347"/>
      <c r="DD78" s="394"/>
      <c r="DE78" s="394"/>
      <c r="DF78" s="394"/>
      <c r="DG78" s="394"/>
      <c r="DH78" s="394"/>
    </row>
    <row r="79" spans="1:112" x14ac:dyDescent="0.25">
      <c r="A79" s="179">
        <v>236</v>
      </c>
      <c r="B79" s="181" t="s">
        <v>114</v>
      </c>
      <c r="C79" s="373">
        <v>4261</v>
      </c>
      <c r="D79" s="360">
        <v>21.5</v>
      </c>
      <c r="E79" s="213"/>
      <c r="G79" s="363">
        <v>7230</v>
      </c>
      <c r="H79" s="363">
        <v>32251</v>
      </c>
      <c r="I79" s="349"/>
      <c r="J79" s="363">
        <v>12079</v>
      </c>
      <c r="K79" s="363">
        <v>810</v>
      </c>
      <c r="L79" s="363">
        <v>962</v>
      </c>
      <c r="M79" s="363">
        <v>13851</v>
      </c>
      <c r="N79" s="363">
        <v>11063</v>
      </c>
      <c r="O79" s="363">
        <v>12</v>
      </c>
      <c r="P79" s="363">
        <v>232</v>
      </c>
      <c r="Q79" s="363">
        <v>39</v>
      </c>
      <c r="R79" s="363">
        <v>1</v>
      </c>
      <c r="S79" s="363">
        <v>-289</v>
      </c>
      <c r="U79" s="363">
        <v>1456</v>
      </c>
      <c r="V79" s="363">
        <v>0</v>
      </c>
      <c r="W79" s="363">
        <v>0</v>
      </c>
      <c r="X79" s="363">
        <v>-1745</v>
      </c>
      <c r="Y79" s="363">
        <v>0</v>
      </c>
      <c r="Z79" s="363">
        <v>0</v>
      </c>
      <c r="AA79" s="363">
        <v>0</v>
      </c>
      <c r="AB79" s="363">
        <v>-1745</v>
      </c>
      <c r="AD79" s="363">
        <v>-2268</v>
      </c>
      <c r="AG79" s="363">
        <v>-1036</v>
      </c>
      <c r="AH79" s="349"/>
      <c r="AJ79" s="363">
        <v>974</v>
      </c>
      <c r="AL79" s="363">
        <v>29379</v>
      </c>
      <c r="AN79" s="349"/>
      <c r="AO79" s="454">
        <v>4228</v>
      </c>
      <c r="AP79" s="478">
        <v>22</v>
      </c>
      <c r="AQ79" s="213"/>
      <c r="AS79" s="509">
        <v>6548</v>
      </c>
      <c r="AT79" s="349">
        <v>31826</v>
      </c>
      <c r="AU79" s="480">
        <v>-25278</v>
      </c>
      <c r="AV79" s="199">
        <v>12879</v>
      </c>
      <c r="AW79" s="199">
        <v>796</v>
      </c>
      <c r="AX79" s="199">
        <v>871</v>
      </c>
      <c r="AY79" s="199">
        <v>14546</v>
      </c>
      <c r="AZ79" s="199">
        <v>14187</v>
      </c>
      <c r="BA79" s="181">
        <v>11</v>
      </c>
      <c r="BB79" s="511">
        <v>199</v>
      </c>
      <c r="BC79" s="181">
        <v>52</v>
      </c>
      <c r="BD79" s="181">
        <v>1</v>
      </c>
      <c r="BE79" s="199">
        <v>3318</v>
      </c>
      <c r="BG79" s="183">
        <v>1585</v>
      </c>
      <c r="BH79" s="183">
        <v>0</v>
      </c>
      <c r="BI79" s="183">
        <v>0</v>
      </c>
      <c r="BJ79" s="199">
        <v>1733</v>
      </c>
      <c r="BK79" s="183">
        <v>0</v>
      </c>
      <c r="BL79" s="183">
        <v>0</v>
      </c>
      <c r="BM79" s="183">
        <v>0</v>
      </c>
      <c r="BN79" s="199">
        <v>1733</v>
      </c>
      <c r="BP79" s="199">
        <v>-535</v>
      </c>
      <c r="BS79" s="211"/>
      <c r="BV79" s="514">
        <v>2998</v>
      </c>
      <c r="BX79" s="181">
        <v>30924</v>
      </c>
      <c r="BZ79" s="349"/>
      <c r="CB79" s="340"/>
      <c r="CC79" s="488">
        <v>22</v>
      </c>
      <c r="CD79" s="378"/>
      <c r="CE79" s="378"/>
      <c r="CF79" s="195"/>
      <c r="CG79" s="349"/>
      <c r="CH79" s="347"/>
      <c r="CI79" s="181">
        <v>8799</v>
      </c>
      <c r="CJ79" s="183">
        <v>500</v>
      </c>
      <c r="CK79" s="421">
        <v>13263.565359663889</v>
      </c>
      <c r="CL79" s="494">
        <v>13625.061839900463</v>
      </c>
      <c r="CM79" s="483">
        <v>5702.9433594019811</v>
      </c>
      <c r="CN79" s="483">
        <v>5637.944710796919</v>
      </c>
      <c r="CO79" s="483">
        <v>5446.3587837249233</v>
      </c>
      <c r="CP79" s="433">
        <f t="shared" si="1"/>
        <v>-2200.5653596638895</v>
      </c>
      <c r="CQ79" s="212"/>
      <c r="CR79" s="212">
        <v>67</v>
      </c>
      <c r="CS79" s="212">
        <v>-1874</v>
      </c>
      <c r="CT79" s="183">
        <v>0</v>
      </c>
      <c r="CU79" s="183">
        <v>26</v>
      </c>
      <c r="CV79" s="485">
        <v>0</v>
      </c>
      <c r="CX79" s="422"/>
      <c r="CY79" s="475"/>
      <c r="CZ79" s="450"/>
      <c r="DA79" s="394"/>
      <c r="DB79" s="394"/>
      <c r="DC79" s="347"/>
      <c r="DD79" s="394"/>
      <c r="DE79" s="394"/>
      <c r="DF79" s="394"/>
      <c r="DG79" s="394"/>
      <c r="DH79" s="394"/>
    </row>
    <row r="80" spans="1:112" x14ac:dyDescent="0.25">
      <c r="A80" s="179">
        <v>239</v>
      </c>
      <c r="B80" s="181" t="s">
        <v>115</v>
      </c>
      <c r="C80" s="373">
        <v>2202</v>
      </c>
      <c r="D80" s="360">
        <v>20.5</v>
      </c>
      <c r="E80" s="213"/>
      <c r="G80" s="363">
        <v>3131</v>
      </c>
      <c r="H80" s="363">
        <v>17377</v>
      </c>
      <c r="I80" s="349"/>
      <c r="J80" s="363">
        <v>5770</v>
      </c>
      <c r="K80" s="363">
        <v>804</v>
      </c>
      <c r="L80" s="363">
        <v>560</v>
      </c>
      <c r="M80" s="363">
        <v>7134</v>
      </c>
      <c r="N80" s="363">
        <v>8169</v>
      </c>
      <c r="O80" s="363">
        <v>0</v>
      </c>
      <c r="P80" s="363">
        <v>16</v>
      </c>
      <c r="Q80" s="363">
        <v>171</v>
      </c>
      <c r="R80" s="363">
        <v>1</v>
      </c>
      <c r="S80" s="363">
        <v>1211</v>
      </c>
      <c r="U80" s="363">
        <v>574</v>
      </c>
      <c r="V80" s="363">
        <v>0</v>
      </c>
      <c r="W80" s="363">
        <v>181</v>
      </c>
      <c r="X80" s="363">
        <v>456</v>
      </c>
      <c r="Y80" s="363">
        <v>0</v>
      </c>
      <c r="Z80" s="363">
        <v>0</v>
      </c>
      <c r="AA80" s="363">
        <v>0</v>
      </c>
      <c r="AB80" s="363">
        <v>456</v>
      </c>
      <c r="AD80" s="363">
        <v>-639</v>
      </c>
      <c r="AG80" s="363">
        <v>-721</v>
      </c>
      <c r="AH80" s="349"/>
      <c r="AJ80" s="363">
        <v>1004</v>
      </c>
      <c r="AL80" s="363">
        <v>7883</v>
      </c>
      <c r="AN80" s="349"/>
      <c r="AO80" s="454">
        <v>2155</v>
      </c>
      <c r="AP80" s="478">
        <v>20.5</v>
      </c>
      <c r="AQ80" s="213"/>
      <c r="AS80" s="509">
        <v>2997</v>
      </c>
      <c r="AT80" s="349">
        <v>18229</v>
      </c>
      <c r="AU80" s="480">
        <v>-15232</v>
      </c>
      <c r="AV80" s="199">
        <v>5811</v>
      </c>
      <c r="AW80" s="199">
        <v>1186</v>
      </c>
      <c r="AX80" s="199">
        <v>472</v>
      </c>
      <c r="AY80" s="199">
        <v>7469</v>
      </c>
      <c r="AZ80" s="199">
        <v>8779</v>
      </c>
      <c r="BA80" s="181">
        <v>0</v>
      </c>
      <c r="BB80" s="511">
        <v>1</v>
      </c>
      <c r="BC80" s="181">
        <v>163</v>
      </c>
      <c r="BD80" s="181">
        <v>4</v>
      </c>
      <c r="BE80" s="199">
        <v>1174</v>
      </c>
      <c r="BG80" s="183">
        <v>572</v>
      </c>
      <c r="BH80" s="199">
        <v>0</v>
      </c>
      <c r="BI80" s="199">
        <v>0</v>
      </c>
      <c r="BJ80" s="199">
        <v>602</v>
      </c>
      <c r="BK80" s="183">
        <v>0</v>
      </c>
      <c r="BL80" s="183">
        <v>0</v>
      </c>
      <c r="BM80" s="183">
        <v>0</v>
      </c>
      <c r="BN80" s="199">
        <v>602</v>
      </c>
      <c r="BP80" s="199">
        <v>-38</v>
      </c>
      <c r="BS80" s="211"/>
      <c r="BV80" s="514">
        <v>1408</v>
      </c>
      <c r="BX80" s="181">
        <v>7623</v>
      </c>
      <c r="BZ80" s="349"/>
      <c r="CB80" s="340"/>
      <c r="CC80" s="488">
        <v>20.5</v>
      </c>
      <c r="CD80" s="378"/>
      <c r="CE80" s="378"/>
      <c r="CF80" s="195"/>
      <c r="CG80" s="349"/>
      <c r="CI80" s="181">
        <v>6963</v>
      </c>
      <c r="CJ80" s="183">
        <v>0</v>
      </c>
      <c r="CK80" s="421">
        <v>8680.8092236703542</v>
      </c>
      <c r="CL80" s="494">
        <v>8425.6911024756064</v>
      </c>
      <c r="CM80" s="483">
        <v>1879.7750335397968</v>
      </c>
      <c r="CN80" s="483">
        <v>1972.3244466015321</v>
      </c>
      <c r="CO80" s="483">
        <v>1864.9156083785315</v>
      </c>
      <c r="CP80" s="433">
        <f t="shared" si="1"/>
        <v>-511.80922367035419</v>
      </c>
      <c r="CQ80" s="212"/>
      <c r="CR80" s="212">
        <v>-151</v>
      </c>
      <c r="CS80" s="212">
        <v>-741</v>
      </c>
      <c r="CT80" s="183">
        <v>79</v>
      </c>
      <c r="CU80" s="183">
        <v>179</v>
      </c>
      <c r="CV80" s="485">
        <v>23</v>
      </c>
      <c r="CX80" s="422"/>
      <c r="CY80" s="475"/>
      <c r="CZ80" s="450"/>
      <c r="DA80" s="394"/>
      <c r="DB80" s="394"/>
      <c r="DC80" s="347"/>
      <c r="DD80" s="394"/>
      <c r="DE80" s="394"/>
      <c r="DF80" s="394"/>
      <c r="DG80" s="394"/>
      <c r="DH80" s="394"/>
    </row>
    <row r="81" spans="1:112" x14ac:dyDescent="0.25">
      <c r="A81" s="179">
        <v>240</v>
      </c>
      <c r="B81" s="181" t="s">
        <v>23</v>
      </c>
      <c r="C81" s="373">
        <v>20707</v>
      </c>
      <c r="D81" s="360">
        <v>21.75</v>
      </c>
      <c r="E81" s="213"/>
      <c r="G81" s="363">
        <v>20525</v>
      </c>
      <c r="H81" s="363">
        <v>160128</v>
      </c>
      <c r="I81" s="349"/>
      <c r="J81" s="363">
        <v>74973</v>
      </c>
      <c r="K81" s="363">
        <v>5132</v>
      </c>
      <c r="L81" s="363">
        <v>6619</v>
      </c>
      <c r="M81" s="363">
        <v>86724</v>
      </c>
      <c r="N81" s="363">
        <v>44093</v>
      </c>
      <c r="O81" s="363">
        <v>593</v>
      </c>
      <c r="P81" s="363">
        <v>740</v>
      </c>
      <c r="Q81" s="363">
        <v>1071</v>
      </c>
      <c r="R81" s="363">
        <v>8</v>
      </c>
      <c r="S81" s="363">
        <v>-7870</v>
      </c>
      <c r="U81" s="363">
        <v>5087</v>
      </c>
      <c r="V81" s="363">
        <v>0</v>
      </c>
      <c r="W81" s="363">
        <v>0</v>
      </c>
      <c r="X81" s="363">
        <v>-12957</v>
      </c>
      <c r="Y81" s="363">
        <v>0</v>
      </c>
      <c r="Z81" s="363">
        <v>0</v>
      </c>
      <c r="AA81" s="363">
        <v>2994</v>
      </c>
      <c r="AB81" s="363">
        <v>-9963</v>
      </c>
      <c r="AD81" s="363">
        <v>-10795</v>
      </c>
      <c r="AG81" s="363">
        <v>-4092</v>
      </c>
      <c r="AH81" s="349"/>
      <c r="AJ81" s="363">
        <v>1357</v>
      </c>
      <c r="AL81" s="363">
        <v>106504</v>
      </c>
      <c r="AN81" s="349"/>
      <c r="AO81" s="454">
        <v>20437</v>
      </c>
      <c r="AP81" s="478">
        <v>21.75</v>
      </c>
      <c r="AQ81" s="213"/>
      <c r="AS81" s="509">
        <v>19646</v>
      </c>
      <c r="AT81" s="349">
        <v>159530</v>
      </c>
      <c r="AU81" s="480">
        <v>-139884</v>
      </c>
      <c r="AV81" s="199">
        <v>76160</v>
      </c>
      <c r="AW81" s="199">
        <v>5946</v>
      </c>
      <c r="AX81" s="199">
        <v>6364</v>
      </c>
      <c r="AY81" s="199">
        <v>88470</v>
      </c>
      <c r="AZ81" s="199">
        <v>55903</v>
      </c>
      <c r="BA81" s="181">
        <v>551</v>
      </c>
      <c r="BB81" s="511">
        <v>629</v>
      </c>
      <c r="BC81" s="181">
        <v>2646</v>
      </c>
      <c r="BD81" s="181">
        <v>47</v>
      </c>
      <c r="BE81" s="199">
        <v>7010</v>
      </c>
      <c r="BG81" s="183">
        <v>5094</v>
      </c>
      <c r="BH81" s="199">
        <v>0</v>
      </c>
      <c r="BI81" s="183">
        <v>0</v>
      </c>
      <c r="BJ81" s="199">
        <v>1916</v>
      </c>
      <c r="BK81" s="183">
        <v>0</v>
      </c>
      <c r="BL81" s="183">
        <v>0</v>
      </c>
      <c r="BM81" s="199">
        <v>0</v>
      </c>
      <c r="BN81" s="199">
        <v>1916</v>
      </c>
      <c r="BP81" s="199">
        <v>-8878</v>
      </c>
      <c r="BS81" s="211"/>
      <c r="BV81" s="514">
        <v>3371</v>
      </c>
      <c r="BX81" s="181">
        <v>107184</v>
      </c>
      <c r="BZ81" s="349"/>
      <c r="CB81" s="340"/>
      <c r="CC81" s="488">
        <v>21.75</v>
      </c>
      <c r="CD81" s="378"/>
      <c r="CE81" s="378"/>
      <c r="CF81" s="195"/>
      <c r="CG81" s="349"/>
      <c r="CI81" s="181">
        <v>37066</v>
      </c>
      <c r="CJ81" s="183">
        <v>0</v>
      </c>
      <c r="CK81" s="421">
        <v>52432.202989062731</v>
      </c>
      <c r="CL81" s="494">
        <v>55135.475133190877</v>
      </c>
      <c r="CM81" s="483">
        <v>808.64213268306753</v>
      </c>
      <c r="CN81" s="483">
        <v>1132.7651108665902</v>
      </c>
      <c r="CO81" s="483">
        <v>1267.8199788718691</v>
      </c>
      <c r="CP81" s="433">
        <f t="shared" si="1"/>
        <v>-8339.2029890627309</v>
      </c>
      <c r="CQ81" s="212"/>
      <c r="CR81" s="212">
        <v>18</v>
      </c>
      <c r="CS81" s="212">
        <v>-6411</v>
      </c>
      <c r="CT81" s="183">
        <v>0</v>
      </c>
      <c r="CU81" s="183">
        <v>422</v>
      </c>
      <c r="CV81" s="485">
        <v>1573</v>
      </c>
      <c r="CX81" s="422"/>
      <c r="CY81" s="475"/>
      <c r="CZ81" s="450"/>
      <c r="DA81" s="394"/>
      <c r="DB81" s="394"/>
      <c r="DC81" s="347"/>
      <c r="DD81" s="394"/>
      <c r="DE81" s="394"/>
      <c r="DF81" s="394"/>
      <c r="DG81" s="394"/>
      <c r="DH81" s="394"/>
    </row>
    <row r="82" spans="1:112" x14ac:dyDescent="0.25">
      <c r="A82" s="179">
        <v>320</v>
      </c>
      <c r="B82" s="181" t="s">
        <v>116</v>
      </c>
      <c r="C82" s="373">
        <v>7274</v>
      </c>
      <c r="D82" s="360">
        <v>21.5</v>
      </c>
      <c r="E82" s="213"/>
      <c r="G82" s="363">
        <v>9219</v>
      </c>
      <c r="H82" s="363">
        <v>64578</v>
      </c>
      <c r="I82" s="349"/>
      <c r="J82" s="363">
        <v>22775</v>
      </c>
      <c r="K82" s="363">
        <v>1184</v>
      </c>
      <c r="L82" s="363">
        <v>4537</v>
      </c>
      <c r="M82" s="363">
        <v>28496</v>
      </c>
      <c r="N82" s="363">
        <v>25199</v>
      </c>
      <c r="O82" s="363">
        <v>411</v>
      </c>
      <c r="P82" s="363">
        <v>244</v>
      </c>
      <c r="Q82" s="363">
        <v>3994</v>
      </c>
      <c r="R82" s="363">
        <v>405</v>
      </c>
      <c r="S82" s="363">
        <v>2092</v>
      </c>
      <c r="U82" s="363">
        <v>2449</v>
      </c>
      <c r="V82" s="363">
        <v>0</v>
      </c>
      <c r="W82" s="363">
        <v>0</v>
      </c>
      <c r="X82" s="363">
        <v>-357</v>
      </c>
      <c r="Y82" s="363">
        <v>0</v>
      </c>
      <c r="Z82" s="363">
        <v>0</v>
      </c>
      <c r="AA82" s="363">
        <v>14</v>
      </c>
      <c r="AB82" s="363">
        <v>-343</v>
      </c>
      <c r="AD82" s="363">
        <v>-4447</v>
      </c>
      <c r="AG82" s="363">
        <v>-2582</v>
      </c>
      <c r="AH82" s="349"/>
      <c r="AJ82" s="363">
        <v>986</v>
      </c>
      <c r="AL82" s="363">
        <v>34414</v>
      </c>
      <c r="AN82" s="349"/>
      <c r="AO82" s="454">
        <v>7191</v>
      </c>
      <c r="AP82" s="478">
        <v>21.5</v>
      </c>
      <c r="AQ82" s="213"/>
      <c r="AS82" s="509">
        <v>9512</v>
      </c>
      <c r="AT82" s="349">
        <v>64839</v>
      </c>
      <c r="AU82" s="480">
        <v>-55327</v>
      </c>
      <c r="AV82" s="199">
        <v>24214</v>
      </c>
      <c r="AW82" s="199">
        <v>1377</v>
      </c>
      <c r="AX82" s="199">
        <v>3998</v>
      </c>
      <c r="AY82" s="199">
        <v>29589</v>
      </c>
      <c r="AZ82" s="199">
        <v>29684</v>
      </c>
      <c r="BA82" s="181">
        <v>408</v>
      </c>
      <c r="BB82" s="511">
        <v>229</v>
      </c>
      <c r="BC82" s="181">
        <v>1503</v>
      </c>
      <c r="BD82" s="181">
        <v>624</v>
      </c>
      <c r="BE82" s="199">
        <v>5004</v>
      </c>
      <c r="BG82" s="183">
        <v>2584</v>
      </c>
      <c r="BH82" s="199">
        <v>0</v>
      </c>
      <c r="BI82" s="199">
        <v>0</v>
      </c>
      <c r="BJ82" s="199">
        <v>2420</v>
      </c>
      <c r="BK82" s="183">
        <v>0</v>
      </c>
      <c r="BL82" s="183">
        <v>-1</v>
      </c>
      <c r="BM82" s="199">
        <v>0</v>
      </c>
      <c r="BN82" s="199">
        <v>2419</v>
      </c>
      <c r="BP82" s="199">
        <v>-2028</v>
      </c>
      <c r="BS82" s="211"/>
      <c r="BV82" s="514">
        <v>5000</v>
      </c>
      <c r="BX82" s="181">
        <v>40080</v>
      </c>
      <c r="BZ82" s="349"/>
      <c r="CB82" s="340"/>
      <c r="CC82" s="488">
        <v>21.5</v>
      </c>
      <c r="CD82" s="378"/>
      <c r="CE82" s="378"/>
      <c r="CF82" s="195"/>
      <c r="CG82" s="349"/>
      <c r="CI82" s="181">
        <v>27330</v>
      </c>
      <c r="CJ82" s="183">
        <v>0</v>
      </c>
      <c r="CK82" s="421">
        <v>28070.38792004186</v>
      </c>
      <c r="CL82" s="494">
        <v>29843.430296070444</v>
      </c>
      <c r="CM82" s="483">
        <v>6883.5010391687083</v>
      </c>
      <c r="CN82" s="483">
        <v>6338.8221234081593</v>
      </c>
      <c r="CO82" s="483">
        <v>6308.8426800948382</v>
      </c>
      <c r="CP82" s="433">
        <f t="shared" si="1"/>
        <v>-2871.3879200418596</v>
      </c>
      <c r="CQ82" s="212"/>
      <c r="CR82" s="212">
        <v>-102</v>
      </c>
      <c r="CS82" s="212">
        <v>-7002</v>
      </c>
      <c r="CT82" s="183">
        <v>0</v>
      </c>
      <c r="CU82" s="183">
        <v>336</v>
      </c>
      <c r="CV82" s="485">
        <v>991</v>
      </c>
      <c r="CX82" s="422"/>
      <c r="CY82" s="475"/>
      <c r="CZ82" s="450"/>
      <c r="DA82" s="394"/>
      <c r="DB82" s="394"/>
      <c r="DC82" s="347"/>
      <c r="DD82" s="394"/>
      <c r="DE82" s="394"/>
      <c r="DF82" s="394"/>
      <c r="DG82" s="394"/>
      <c r="DH82" s="394"/>
    </row>
    <row r="83" spans="1:112" x14ac:dyDescent="0.25">
      <c r="A83" s="179">
        <v>241</v>
      </c>
      <c r="B83" s="181" t="s">
        <v>117</v>
      </c>
      <c r="C83" s="373">
        <v>8079</v>
      </c>
      <c r="D83" s="360">
        <v>21.25</v>
      </c>
      <c r="E83" s="213"/>
      <c r="G83" s="363">
        <v>3444</v>
      </c>
      <c r="H83" s="363">
        <v>51866</v>
      </c>
      <c r="I83" s="349"/>
      <c r="J83" s="363">
        <v>30785</v>
      </c>
      <c r="K83" s="363">
        <v>1094</v>
      </c>
      <c r="L83" s="363">
        <v>3983</v>
      </c>
      <c r="M83" s="363">
        <v>35862</v>
      </c>
      <c r="N83" s="363">
        <v>13114</v>
      </c>
      <c r="O83" s="363">
        <v>284</v>
      </c>
      <c r="P83" s="363">
        <v>208</v>
      </c>
      <c r="Q83" s="363">
        <v>109</v>
      </c>
      <c r="R83" s="363">
        <v>0</v>
      </c>
      <c r="S83" s="363">
        <v>739</v>
      </c>
      <c r="U83" s="363">
        <v>1688</v>
      </c>
      <c r="V83" s="363">
        <v>3</v>
      </c>
      <c r="W83" s="363">
        <v>0</v>
      </c>
      <c r="X83" s="363">
        <v>-946</v>
      </c>
      <c r="Y83" s="363">
        <v>0</v>
      </c>
      <c r="Z83" s="363">
        <v>0</v>
      </c>
      <c r="AA83" s="363">
        <v>0</v>
      </c>
      <c r="AB83" s="363">
        <v>-946</v>
      </c>
      <c r="AD83" s="363">
        <v>1461</v>
      </c>
      <c r="AG83" s="363">
        <v>-1282</v>
      </c>
      <c r="AH83" s="349"/>
      <c r="AJ83" s="363">
        <v>8372</v>
      </c>
      <c r="AL83" s="363">
        <v>18514</v>
      </c>
      <c r="AN83" s="349"/>
      <c r="AO83" s="454">
        <v>7984</v>
      </c>
      <c r="AP83" s="478">
        <v>21.25</v>
      </c>
      <c r="AQ83" s="213"/>
      <c r="AS83" s="509">
        <v>3480</v>
      </c>
      <c r="AT83" s="349">
        <v>51493</v>
      </c>
      <c r="AU83" s="480">
        <v>-48013</v>
      </c>
      <c r="AV83" s="199">
        <v>31240</v>
      </c>
      <c r="AW83" s="199">
        <v>1399</v>
      </c>
      <c r="AX83" s="199">
        <v>3581</v>
      </c>
      <c r="AY83" s="199">
        <v>36220</v>
      </c>
      <c r="AZ83" s="199">
        <v>16196</v>
      </c>
      <c r="BA83" s="181">
        <v>196</v>
      </c>
      <c r="BB83" s="511">
        <v>172</v>
      </c>
      <c r="BC83" s="181">
        <v>35</v>
      </c>
      <c r="BD83" s="181">
        <v>9</v>
      </c>
      <c r="BE83" s="199">
        <v>4453</v>
      </c>
      <c r="BG83" s="183">
        <v>1906</v>
      </c>
      <c r="BH83" s="199">
        <v>41</v>
      </c>
      <c r="BI83" s="183">
        <v>0</v>
      </c>
      <c r="BJ83" s="199">
        <v>2588</v>
      </c>
      <c r="BK83" s="183">
        <v>0</v>
      </c>
      <c r="BL83" s="183">
        <v>0</v>
      </c>
      <c r="BM83" s="183">
        <v>0</v>
      </c>
      <c r="BN83" s="199">
        <v>2588</v>
      </c>
      <c r="BP83" s="199">
        <v>4049</v>
      </c>
      <c r="BS83" s="211"/>
      <c r="BV83" s="514">
        <v>5089</v>
      </c>
      <c r="BX83" s="181">
        <v>14803</v>
      </c>
      <c r="BZ83" s="349"/>
      <c r="CB83" s="340"/>
      <c r="CC83" s="488">
        <v>21.25</v>
      </c>
      <c r="CD83" s="378"/>
      <c r="CE83" s="378"/>
      <c r="CF83" s="195"/>
      <c r="CG83" s="349"/>
      <c r="CI83" s="181">
        <v>13024</v>
      </c>
      <c r="CJ83" s="183">
        <v>0</v>
      </c>
      <c r="CK83" s="421">
        <v>14501.304291673483</v>
      </c>
      <c r="CL83" s="494">
        <v>15947.803474055863</v>
      </c>
      <c r="CM83" s="483">
        <v>2724.991017974955</v>
      </c>
      <c r="CN83" s="483">
        <v>2744.3844212289023</v>
      </c>
      <c r="CO83" s="483">
        <v>2827.1979103288445</v>
      </c>
      <c r="CP83" s="433">
        <f t="shared" si="1"/>
        <v>-1387.304291673483</v>
      </c>
      <c r="CQ83" s="212"/>
      <c r="CR83" s="212">
        <v>-31</v>
      </c>
      <c r="CS83" s="212">
        <v>-3695</v>
      </c>
      <c r="CT83" s="183">
        <v>17</v>
      </c>
      <c r="CU83" s="183">
        <v>49</v>
      </c>
      <c r="CV83" s="485">
        <v>239</v>
      </c>
      <c r="CX83" s="422"/>
      <c r="CY83" s="475"/>
      <c r="CZ83" s="450"/>
      <c r="DA83" s="394"/>
      <c r="DB83" s="394"/>
      <c r="DC83" s="347"/>
      <c r="DD83" s="394"/>
      <c r="DE83" s="394"/>
      <c r="DF83" s="394"/>
      <c r="DG83" s="394"/>
      <c r="DH83" s="394"/>
    </row>
    <row r="84" spans="1:112" x14ac:dyDescent="0.25">
      <c r="A84" s="179">
        <v>322</v>
      </c>
      <c r="B84" s="181" t="s">
        <v>361</v>
      </c>
      <c r="C84" s="373">
        <v>6640</v>
      </c>
      <c r="D84" s="360">
        <v>19.75</v>
      </c>
      <c r="E84" s="213"/>
      <c r="G84" s="363">
        <v>7211</v>
      </c>
      <c r="H84" s="363">
        <v>50235</v>
      </c>
      <c r="I84" s="349"/>
      <c r="J84" s="363">
        <v>18239</v>
      </c>
      <c r="K84" s="363">
        <v>1064</v>
      </c>
      <c r="L84" s="363">
        <v>3354</v>
      </c>
      <c r="M84" s="363">
        <v>22657</v>
      </c>
      <c r="N84" s="363">
        <v>21601</v>
      </c>
      <c r="O84" s="363">
        <v>1</v>
      </c>
      <c r="P84" s="363">
        <v>173</v>
      </c>
      <c r="Q84" s="363">
        <v>39</v>
      </c>
      <c r="R84" s="363">
        <v>7</v>
      </c>
      <c r="S84" s="363">
        <v>1094</v>
      </c>
      <c r="U84" s="363">
        <v>3673</v>
      </c>
      <c r="V84" s="363">
        <v>0</v>
      </c>
      <c r="W84" s="363">
        <v>0</v>
      </c>
      <c r="X84" s="363">
        <v>-2579</v>
      </c>
      <c r="Y84" s="363">
        <v>143</v>
      </c>
      <c r="Z84" s="363">
        <v>0</v>
      </c>
      <c r="AA84" s="363">
        <v>0</v>
      </c>
      <c r="AB84" s="363">
        <v>-2436</v>
      </c>
      <c r="AD84" s="363">
        <v>12009</v>
      </c>
      <c r="AG84" s="363">
        <v>-1186</v>
      </c>
      <c r="AH84" s="349"/>
      <c r="AJ84" s="363">
        <v>2713</v>
      </c>
      <c r="AL84" s="363">
        <v>21425</v>
      </c>
      <c r="AN84" s="349"/>
      <c r="AO84" s="454">
        <v>6609</v>
      </c>
      <c r="AP84" s="478">
        <v>19.75</v>
      </c>
      <c r="AQ84" s="213"/>
      <c r="AS84" s="509">
        <v>6927</v>
      </c>
      <c r="AT84" s="349">
        <v>47727</v>
      </c>
      <c r="AU84" s="480">
        <v>-40800</v>
      </c>
      <c r="AV84" s="199">
        <v>18994</v>
      </c>
      <c r="AW84" s="199">
        <v>1237</v>
      </c>
      <c r="AX84" s="199">
        <v>3069</v>
      </c>
      <c r="AY84" s="199">
        <v>23300</v>
      </c>
      <c r="AZ84" s="199">
        <v>24342</v>
      </c>
      <c r="BA84" s="181">
        <v>4</v>
      </c>
      <c r="BB84" s="511">
        <v>156</v>
      </c>
      <c r="BC84" s="181">
        <v>45</v>
      </c>
      <c r="BD84" s="181">
        <v>6</v>
      </c>
      <c r="BE84" s="199">
        <v>6729</v>
      </c>
      <c r="BG84" s="183">
        <v>5335</v>
      </c>
      <c r="BH84" s="183">
        <v>0</v>
      </c>
      <c r="BI84" s="183">
        <v>0</v>
      </c>
      <c r="BJ84" s="199">
        <v>1394</v>
      </c>
      <c r="BK84" s="199">
        <v>196</v>
      </c>
      <c r="BL84" s="183">
        <v>0</v>
      </c>
      <c r="BM84" s="183">
        <v>0</v>
      </c>
      <c r="BN84" s="199">
        <v>1590</v>
      </c>
      <c r="BP84" s="199">
        <v>13742</v>
      </c>
      <c r="BS84" s="211"/>
      <c r="BV84" s="514">
        <v>1960</v>
      </c>
      <c r="BX84" s="181">
        <v>16003</v>
      </c>
      <c r="BZ84" s="349"/>
      <c r="CB84" s="341"/>
      <c r="CC84" s="488">
        <v>19.75</v>
      </c>
      <c r="CD84" s="378"/>
      <c r="CE84" s="378"/>
      <c r="CF84" s="194"/>
      <c r="CG84" s="349"/>
      <c r="CI84" s="181">
        <v>17777</v>
      </c>
      <c r="CJ84" s="183">
        <v>0</v>
      </c>
      <c r="CK84" s="421">
        <v>22877.266015049448</v>
      </c>
      <c r="CL84" s="494">
        <v>24324.1247823626</v>
      </c>
      <c r="CM84" s="483">
        <v>8942.1126088833444</v>
      </c>
      <c r="CN84" s="483">
        <v>8807.970535282986</v>
      </c>
      <c r="CO84" s="483">
        <v>8719.6803791204165</v>
      </c>
      <c r="CP84" s="433">
        <f t="shared" si="1"/>
        <v>-1276.2660150494485</v>
      </c>
      <c r="CQ84" s="212"/>
      <c r="CR84" s="212">
        <v>-87</v>
      </c>
      <c r="CS84" s="212">
        <v>-1654</v>
      </c>
      <c r="CT84" s="183">
        <v>430</v>
      </c>
      <c r="CU84" s="183">
        <v>210</v>
      </c>
      <c r="CV84" s="485">
        <v>0</v>
      </c>
      <c r="CX84" s="422"/>
      <c r="CY84" s="475"/>
      <c r="CZ84" s="450"/>
      <c r="DA84" s="394"/>
      <c r="DB84" s="394"/>
      <c r="DC84" s="347"/>
      <c r="DD84" s="394"/>
      <c r="DE84" s="394"/>
      <c r="DF84" s="394"/>
      <c r="DG84" s="394"/>
      <c r="DH84" s="394"/>
    </row>
    <row r="85" spans="1:112" x14ac:dyDescent="0.25">
      <c r="A85" s="179">
        <v>244</v>
      </c>
      <c r="B85" s="181" t="s">
        <v>118</v>
      </c>
      <c r="C85" s="373">
        <v>18355</v>
      </c>
      <c r="D85" s="360">
        <v>20.5</v>
      </c>
      <c r="E85" s="213"/>
      <c r="G85" s="363">
        <v>14342</v>
      </c>
      <c r="H85" s="363">
        <v>107818</v>
      </c>
      <c r="I85" s="349"/>
      <c r="J85" s="363">
        <v>63456</v>
      </c>
      <c r="K85" s="363">
        <v>3972</v>
      </c>
      <c r="L85" s="363">
        <v>3839</v>
      </c>
      <c r="M85" s="363">
        <v>71267</v>
      </c>
      <c r="N85" s="363">
        <v>24608</v>
      </c>
      <c r="O85" s="363">
        <v>1</v>
      </c>
      <c r="P85" s="363">
        <v>696</v>
      </c>
      <c r="Q85" s="363">
        <v>30</v>
      </c>
      <c r="R85" s="363">
        <v>33</v>
      </c>
      <c r="S85" s="363">
        <v>1701</v>
      </c>
      <c r="U85" s="363">
        <v>5241</v>
      </c>
      <c r="V85" s="363">
        <v>0</v>
      </c>
      <c r="W85" s="363">
        <v>0</v>
      </c>
      <c r="X85" s="363">
        <v>-3540</v>
      </c>
      <c r="Y85" s="363">
        <v>729</v>
      </c>
      <c r="Z85" s="363">
        <v>0</v>
      </c>
      <c r="AA85" s="363">
        <v>0</v>
      </c>
      <c r="AB85" s="363">
        <v>-2811</v>
      </c>
      <c r="AD85" s="363">
        <v>10222</v>
      </c>
      <c r="AG85" s="363">
        <v>-11802</v>
      </c>
      <c r="AH85" s="349"/>
      <c r="AJ85" s="363">
        <v>4979</v>
      </c>
      <c r="AL85" s="363">
        <v>65317</v>
      </c>
      <c r="AN85" s="349"/>
      <c r="AO85" s="454">
        <v>18796</v>
      </c>
      <c r="AP85" s="478">
        <v>20.5</v>
      </c>
      <c r="AQ85" s="213"/>
      <c r="AS85" s="509">
        <v>13133</v>
      </c>
      <c r="AT85" s="349">
        <v>113256</v>
      </c>
      <c r="AU85" s="480">
        <v>-100123</v>
      </c>
      <c r="AV85" s="199">
        <v>67226</v>
      </c>
      <c r="AW85" s="199">
        <v>3917</v>
      </c>
      <c r="AX85" s="199">
        <v>3599</v>
      </c>
      <c r="AY85" s="199">
        <v>74742</v>
      </c>
      <c r="AZ85" s="199">
        <v>33123</v>
      </c>
      <c r="BA85" s="181">
        <v>47</v>
      </c>
      <c r="BB85" s="511">
        <v>671</v>
      </c>
      <c r="BC85" s="181">
        <v>33</v>
      </c>
      <c r="BD85" s="181">
        <v>1</v>
      </c>
      <c r="BE85" s="199">
        <v>7150</v>
      </c>
      <c r="BG85" s="183">
        <v>6724</v>
      </c>
      <c r="BH85" s="183">
        <v>0</v>
      </c>
      <c r="BI85" s="183">
        <v>0</v>
      </c>
      <c r="BJ85" s="199">
        <v>426</v>
      </c>
      <c r="BK85" s="199">
        <v>728</v>
      </c>
      <c r="BL85" s="183">
        <v>0</v>
      </c>
      <c r="BM85" s="183">
        <v>0</v>
      </c>
      <c r="BN85" s="199">
        <v>1154</v>
      </c>
      <c r="BP85" s="199">
        <v>11376</v>
      </c>
      <c r="BS85" s="211"/>
      <c r="BV85" s="514">
        <v>5219</v>
      </c>
      <c r="BX85" s="181">
        <v>64822</v>
      </c>
      <c r="BZ85" s="349"/>
      <c r="CB85" s="340"/>
      <c r="CC85" s="488">
        <v>20.5</v>
      </c>
      <c r="CD85" s="378"/>
      <c r="CE85" s="378"/>
      <c r="CF85" s="195"/>
      <c r="CG85" s="349"/>
      <c r="CI85" s="181">
        <v>17196</v>
      </c>
      <c r="CJ85" s="183">
        <v>0</v>
      </c>
      <c r="CK85" s="421">
        <v>29701.334629702978</v>
      </c>
      <c r="CL85" s="494">
        <v>33828.914081008035</v>
      </c>
      <c r="CM85" s="483">
        <v>14970.839173450982</v>
      </c>
      <c r="CN85" s="483">
        <v>14783.171957469471</v>
      </c>
      <c r="CO85" s="483">
        <v>15888.468399431204</v>
      </c>
      <c r="CP85" s="433">
        <f t="shared" si="1"/>
        <v>-5093.3346297029784</v>
      </c>
      <c r="CQ85" s="212"/>
      <c r="CR85" s="212">
        <v>-2695</v>
      </c>
      <c r="CS85" s="212">
        <v>-8706</v>
      </c>
      <c r="CT85" s="183">
        <v>497</v>
      </c>
      <c r="CU85" s="183">
        <v>3683</v>
      </c>
      <c r="CV85" s="485">
        <v>-48</v>
      </c>
      <c r="CX85" s="422"/>
      <c r="CY85" s="475"/>
      <c r="CZ85" s="450"/>
      <c r="DA85" s="394"/>
      <c r="DB85" s="394"/>
      <c r="DC85" s="347"/>
      <c r="DD85" s="394"/>
      <c r="DE85" s="394"/>
      <c r="DF85" s="394"/>
      <c r="DG85" s="394"/>
      <c r="DH85" s="394"/>
    </row>
    <row r="86" spans="1:112" x14ac:dyDescent="0.25">
      <c r="A86" s="179">
        <v>245</v>
      </c>
      <c r="B86" s="181" t="s">
        <v>119</v>
      </c>
      <c r="C86" s="373">
        <v>36756</v>
      </c>
      <c r="D86" s="360">
        <v>19.25</v>
      </c>
      <c r="E86" s="213"/>
      <c r="G86" s="363">
        <v>37610</v>
      </c>
      <c r="H86" s="363">
        <v>209851</v>
      </c>
      <c r="I86" s="349"/>
      <c r="J86" s="363">
        <v>138903</v>
      </c>
      <c r="K86" s="363">
        <v>7956</v>
      </c>
      <c r="L86" s="363">
        <v>10562</v>
      </c>
      <c r="M86" s="363">
        <v>157421</v>
      </c>
      <c r="N86" s="363">
        <v>23259</v>
      </c>
      <c r="O86" s="363">
        <v>147</v>
      </c>
      <c r="P86" s="363">
        <v>211</v>
      </c>
      <c r="Q86" s="363">
        <v>959</v>
      </c>
      <c r="R86" s="363">
        <v>111</v>
      </c>
      <c r="S86" s="363">
        <v>9223</v>
      </c>
      <c r="U86" s="363">
        <v>21953</v>
      </c>
      <c r="V86" s="363">
        <v>14166</v>
      </c>
      <c r="W86" s="363">
        <v>0</v>
      </c>
      <c r="X86" s="363">
        <v>1436</v>
      </c>
      <c r="Y86" s="363">
        <v>0</v>
      </c>
      <c r="Z86" s="363">
        <v>0</v>
      </c>
      <c r="AA86" s="363">
        <v>0</v>
      </c>
      <c r="AB86" s="363">
        <v>1436</v>
      </c>
      <c r="AD86" s="363">
        <v>101329</v>
      </c>
      <c r="AG86" s="363">
        <v>-32396</v>
      </c>
      <c r="AH86" s="349"/>
      <c r="AJ86" s="363">
        <v>4103</v>
      </c>
      <c r="AL86" s="363">
        <v>53768</v>
      </c>
      <c r="AN86" s="349"/>
      <c r="AO86" s="454">
        <v>37105</v>
      </c>
      <c r="AP86" s="478">
        <v>19.25</v>
      </c>
      <c r="AQ86" s="213"/>
      <c r="AS86" s="509">
        <v>33534</v>
      </c>
      <c r="AT86" s="349">
        <v>220490</v>
      </c>
      <c r="AU86" s="480">
        <v>-186956</v>
      </c>
      <c r="AV86" s="199">
        <v>145530</v>
      </c>
      <c r="AW86" s="199">
        <v>7538</v>
      </c>
      <c r="AX86" s="199">
        <v>9917</v>
      </c>
      <c r="AY86" s="199">
        <v>162985</v>
      </c>
      <c r="AZ86" s="199">
        <v>40154</v>
      </c>
      <c r="BA86" s="181">
        <v>74</v>
      </c>
      <c r="BB86" s="511">
        <v>242</v>
      </c>
      <c r="BC86" s="181">
        <v>967</v>
      </c>
      <c r="BD86" s="181">
        <v>125</v>
      </c>
      <c r="BE86" s="199">
        <v>16857</v>
      </c>
      <c r="BG86" s="183">
        <v>16399</v>
      </c>
      <c r="BH86" s="183">
        <v>2733</v>
      </c>
      <c r="BI86" s="183">
        <v>0</v>
      </c>
      <c r="BJ86" s="199">
        <v>3191</v>
      </c>
      <c r="BK86" s="183">
        <v>0</v>
      </c>
      <c r="BL86" s="183">
        <v>0</v>
      </c>
      <c r="BM86" s="199">
        <v>0</v>
      </c>
      <c r="BN86" s="199">
        <v>3191</v>
      </c>
      <c r="BP86" s="199">
        <v>104519</v>
      </c>
      <c r="BS86" s="211"/>
      <c r="BV86" s="514">
        <v>4618</v>
      </c>
      <c r="BX86" s="181">
        <v>70006</v>
      </c>
      <c r="BZ86" s="349"/>
      <c r="CB86" s="340"/>
      <c r="CC86" s="488">
        <v>19.25</v>
      </c>
      <c r="CD86" s="378"/>
      <c r="CE86" s="378"/>
      <c r="CF86" s="195"/>
      <c r="CG86" s="349"/>
      <c r="CI86" s="181">
        <v>18933</v>
      </c>
      <c r="CJ86" s="183">
        <v>0</v>
      </c>
      <c r="CK86" s="421">
        <v>35449.970531237625</v>
      </c>
      <c r="CL86" s="494">
        <v>38722.360327410221</v>
      </c>
      <c r="CM86" s="483">
        <v>29203.540156725321</v>
      </c>
      <c r="CN86" s="483">
        <v>29661.651953157179</v>
      </c>
      <c r="CO86" s="483">
        <v>29943.873847256622</v>
      </c>
      <c r="CP86" s="433">
        <f t="shared" si="1"/>
        <v>-12190.970531237625</v>
      </c>
      <c r="CQ86" s="212"/>
      <c r="CR86" s="212">
        <v>-6926</v>
      </c>
      <c r="CS86" s="212">
        <v>-39072</v>
      </c>
      <c r="CT86" s="183">
        <v>97</v>
      </c>
      <c r="CU86" s="183">
        <v>7862</v>
      </c>
      <c r="CV86" s="485">
        <v>-36</v>
      </c>
      <c r="CX86" s="422"/>
      <c r="CY86" s="475"/>
      <c r="CZ86" s="450"/>
      <c r="DA86" s="394"/>
      <c r="DB86" s="394"/>
      <c r="DC86" s="347"/>
      <c r="DD86" s="394"/>
      <c r="DE86" s="394"/>
      <c r="DF86" s="394"/>
      <c r="DG86" s="394"/>
      <c r="DH86" s="394"/>
    </row>
    <row r="87" spans="1:112" x14ac:dyDescent="0.25">
      <c r="A87" s="179">
        <v>249</v>
      </c>
      <c r="B87" s="181" t="s">
        <v>120</v>
      </c>
      <c r="C87" s="373">
        <v>9605</v>
      </c>
      <c r="D87" s="360">
        <v>21.5</v>
      </c>
      <c r="E87" s="213"/>
      <c r="G87" s="363">
        <v>21777</v>
      </c>
      <c r="H87" s="363">
        <v>81405</v>
      </c>
      <c r="I87" s="349"/>
      <c r="J87" s="363">
        <v>28636</v>
      </c>
      <c r="K87" s="363">
        <v>2666</v>
      </c>
      <c r="L87" s="363">
        <v>2411</v>
      </c>
      <c r="M87" s="363">
        <v>33713</v>
      </c>
      <c r="N87" s="363">
        <v>27516</v>
      </c>
      <c r="O87" s="363">
        <v>4</v>
      </c>
      <c r="P87" s="363">
        <v>32</v>
      </c>
      <c r="Q87" s="363">
        <v>321</v>
      </c>
      <c r="R87" s="363">
        <v>13</v>
      </c>
      <c r="S87" s="363">
        <v>1881</v>
      </c>
      <c r="U87" s="363">
        <v>5031</v>
      </c>
      <c r="V87" s="363">
        <v>0</v>
      </c>
      <c r="W87" s="363">
        <v>0</v>
      </c>
      <c r="X87" s="363">
        <v>-3150</v>
      </c>
      <c r="Y87" s="363">
        <v>0</v>
      </c>
      <c r="Z87" s="363">
        <v>0</v>
      </c>
      <c r="AA87" s="363">
        <v>0</v>
      </c>
      <c r="AB87" s="363">
        <v>-3150</v>
      </c>
      <c r="AD87" s="363">
        <v>5931</v>
      </c>
      <c r="AG87" s="363">
        <v>-6303</v>
      </c>
      <c r="AH87" s="349"/>
      <c r="AJ87" s="363">
        <v>986</v>
      </c>
      <c r="AL87" s="363">
        <v>58683</v>
      </c>
      <c r="AN87" s="349"/>
      <c r="AO87" s="454">
        <v>9486</v>
      </c>
      <c r="AP87" s="478">
        <v>21.5</v>
      </c>
      <c r="AQ87" s="213"/>
      <c r="AS87" s="509">
        <v>20789</v>
      </c>
      <c r="AT87" s="349">
        <v>80197</v>
      </c>
      <c r="AU87" s="480">
        <v>-59408</v>
      </c>
      <c r="AV87" s="199">
        <v>30187</v>
      </c>
      <c r="AW87" s="199">
        <v>3056</v>
      </c>
      <c r="AX87" s="199">
        <v>2188</v>
      </c>
      <c r="AY87" s="199">
        <v>35431</v>
      </c>
      <c r="AZ87" s="199">
        <v>31047</v>
      </c>
      <c r="BA87" s="181">
        <v>5</v>
      </c>
      <c r="BB87" s="511">
        <v>-3</v>
      </c>
      <c r="BC87" s="181">
        <v>171</v>
      </c>
      <c r="BD87" s="181">
        <v>17</v>
      </c>
      <c r="BE87" s="199">
        <v>7232</v>
      </c>
      <c r="BG87" s="183">
        <v>4970</v>
      </c>
      <c r="BH87" s="183">
        <v>0</v>
      </c>
      <c r="BI87" s="183">
        <v>0</v>
      </c>
      <c r="BJ87" s="199">
        <v>2262</v>
      </c>
      <c r="BK87" s="199">
        <v>0</v>
      </c>
      <c r="BL87" s="183">
        <v>0</v>
      </c>
      <c r="BM87" s="183">
        <v>0</v>
      </c>
      <c r="BN87" s="199">
        <v>2262</v>
      </c>
      <c r="BP87" s="199">
        <v>8194</v>
      </c>
      <c r="BS87" s="211"/>
      <c r="BV87" s="514">
        <v>1889</v>
      </c>
      <c r="BX87" s="181">
        <v>57758</v>
      </c>
      <c r="BZ87" s="349"/>
      <c r="CB87" s="340"/>
      <c r="CC87" s="488">
        <v>21.5</v>
      </c>
      <c r="CD87" s="378"/>
      <c r="CE87" s="378"/>
      <c r="CF87" s="195"/>
      <c r="CG87" s="349"/>
      <c r="CI87" s="181">
        <v>24249</v>
      </c>
      <c r="CJ87" s="183">
        <v>0</v>
      </c>
      <c r="CK87" s="421">
        <v>29658.160974941453</v>
      </c>
      <c r="CL87" s="494">
        <v>29999.59993250401</v>
      </c>
      <c r="CM87" s="483">
        <v>9578.619026187509</v>
      </c>
      <c r="CN87" s="483">
        <v>9333.6690296707948</v>
      </c>
      <c r="CO87" s="483">
        <v>9006.5540660475453</v>
      </c>
      <c r="CP87" s="433">
        <f t="shared" si="1"/>
        <v>-2142.1609749414529</v>
      </c>
      <c r="CQ87" s="212"/>
      <c r="CR87" s="212">
        <v>-107</v>
      </c>
      <c r="CS87" s="212">
        <v>-6021</v>
      </c>
      <c r="CT87" s="183">
        <v>0</v>
      </c>
      <c r="CU87" s="183">
        <v>243</v>
      </c>
      <c r="CV87" s="485">
        <v>0</v>
      </c>
      <c r="CX87" s="422"/>
      <c r="CY87" s="475"/>
      <c r="CZ87" s="450"/>
      <c r="DA87" s="394"/>
      <c r="DB87" s="394"/>
      <c r="DC87" s="347"/>
      <c r="DD87" s="394"/>
      <c r="DE87" s="394"/>
      <c r="DF87" s="394"/>
      <c r="DG87" s="394"/>
      <c r="DH87" s="394"/>
    </row>
    <row r="88" spans="1:112" x14ac:dyDescent="0.25">
      <c r="A88" s="179">
        <v>250</v>
      </c>
      <c r="B88" s="181" t="s">
        <v>121</v>
      </c>
      <c r="C88" s="373">
        <v>1865</v>
      </c>
      <c r="D88" s="360">
        <v>21.5</v>
      </c>
      <c r="E88" s="213"/>
      <c r="G88" s="363">
        <v>1352</v>
      </c>
      <c r="H88" s="363">
        <v>13506</v>
      </c>
      <c r="I88" s="349"/>
      <c r="J88" s="363">
        <v>4493</v>
      </c>
      <c r="K88" s="363">
        <v>682</v>
      </c>
      <c r="L88" s="363">
        <v>542</v>
      </c>
      <c r="M88" s="363">
        <v>5717</v>
      </c>
      <c r="N88" s="363">
        <v>6889</v>
      </c>
      <c r="O88" s="363">
        <v>2</v>
      </c>
      <c r="P88" s="363">
        <v>120</v>
      </c>
      <c r="Q88" s="363">
        <v>-21</v>
      </c>
      <c r="R88" s="363">
        <v>0</v>
      </c>
      <c r="S88" s="363">
        <v>313</v>
      </c>
      <c r="U88" s="363">
        <v>599</v>
      </c>
      <c r="V88" s="363">
        <v>0</v>
      </c>
      <c r="W88" s="363">
        <v>0</v>
      </c>
      <c r="X88" s="363">
        <v>-286</v>
      </c>
      <c r="Y88" s="363">
        <v>85</v>
      </c>
      <c r="Z88" s="363">
        <v>0</v>
      </c>
      <c r="AA88" s="363">
        <v>0</v>
      </c>
      <c r="AB88" s="363">
        <v>-201</v>
      </c>
      <c r="AD88" s="363">
        <v>-1207</v>
      </c>
      <c r="AG88" s="363">
        <v>-794</v>
      </c>
      <c r="AH88" s="349"/>
      <c r="AJ88" s="363">
        <v>1030</v>
      </c>
      <c r="AL88" s="363">
        <v>8147</v>
      </c>
      <c r="AN88" s="349"/>
      <c r="AO88" s="454">
        <v>1822</v>
      </c>
      <c r="AP88" s="478">
        <v>21.5</v>
      </c>
      <c r="AQ88" s="213"/>
      <c r="AS88" s="509">
        <v>1299</v>
      </c>
      <c r="AT88" s="349">
        <v>13518</v>
      </c>
      <c r="AU88" s="480">
        <v>-12219</v>
      </c>
      <c r="AV88" s="199">
        <v>4586</v>
      </c>
      <c r="AW88" s="199">
        <v>780</v>
      </c>
      <c r="AX88" s="199">
        <v>494</v>
      </c>
      <c r="AY88" s="199">
        <v>5860</v>
      </c>
      <c r="AZ88" s="199">
        <v>7643</v>
      </c>
      <c r="BA88" s="181">
        <v>2</v>
      </c>
      <c r="BB88" s="511">
        <v>109</v>
      </c>
      <c r="BC88" s="181">
        <v>47</v>
      </c>
      <c r="BD88" s="181">
        <v>0</v>
      </c>
      <c r="BE88" s="199">
        <v>1224</v>
      </c>
      <c r="BG88" s="183">
        <v>588</v>
      </c>
      <c r="BH88" s="183">
        <v>2115</v>
      </c>
      <c r="BI88" s="183">
        <v>0</v>
      </c>
      <c r="BJ88" s="199">
        <v>2751</v>
      </c>
      <c r="BK88" s="183">
        <v>281</v>
      </c>
      <c r="BL88" s="183">
        <v>0</v>
      </c>
      <c r="BM88" s="183">
        <v>0</v>
      </c>
      <c r="BN88" s="199">
        <v>3032</v>
      </c>
      <c r="BP88" s="199">
        <v>1825</v>
      </c>
      <c r="BS88" s="211"/>
      <c r="BV88" s="514">
        <v>1811</v>
      </c>
      <c r="BX88" s="181">
        <v>8006</v>
      </c>
      <c r="BZ88" s="349"/>
      <c r="CB88" s="340"/>
      <c r="CC88" s="488">
        <v>21.5</v>
      </c>
      <c r="CD88" s="378"/>
      <c r="CE88" s="378"/>
      <c r="CF88" s="195"/>
      <c r="CG88" s="349"/>
      <c r="CI88" s="181">
        <v>5249</v>
      </c>
      <c r="CJ88" s="183">
        <v>0</v>
      </c>
      <c r="CK88" s="421">
        <v>7133.8804702725456</v>
      </c>
      <c r="CL88" s="494">
        <v>7222.1244206923157</v>
      </c>
      <c r="CM88" s="483">
        <v>1440.8437476830036</v>
      </c>
      <c r="CN88" s="483">
        <v>1479.8794605386415</v>
      </c>
      <c r="CO88" s="483">
        <v>1343.2618177358158</v>
      </c>
      <c r="CP88" s="433">
        <f t="shared" si="1"/>
        <v>-244.88047027254561</v>
      </c>
      <c r="CQ88" s="212"/>
      <c r="CR88" s="212">
        <v>-2146</v>
      </c>
      <c r="CS88" s="212">
        <v>-1497</v>
      </c>
      <c r="CT88" s="183">
        <v>13</v>
      </c>
      <c r="CU88" s="183">
        <v>4199</v>
      </c>
      <c r="CV88" s="485">
        <v>-2990</v>
      </c>
      <c r="CX88" s="422"/>
      <c r="CY88" s="475"/>
      <c r="CZ88" s="450"/>
      <c r="DA88" s="394"/>
      <c r="DB88" s="394"/>
      <c r="DC88" s="347"/>
      <c r="DD88" s="394"/>
      <c r="DE88" s="394"/>
      <c r="DF88" s="394"/>
      <c r="DG88" s="394"/>
      <c r="DH88" s="394"/>
    </row>
    <row r="89" spans="1:112" x14ac:dyDescent="0.25">
      <c r="A89" s="179">
        <v>256</v>
      </c>
      <c r="B89" s="181" t="s">
        <v>122</v>
      </c>
      <c r="C89" s="373">
        <v>1620</v>
      </c>
      <c r="D89" s="360">
        <v>21</v>
      </c>
      <c r="E89" s="213"/>
      <c r="G89" s="363">
        <v>2441</v>
      </c>
      <c r="H89" s="363">
        <v>13722</v>
      </c>
      <c r="I89" s="349"/>
      <c r="J89" s="363">
        <v>3403</v>
      </c>
      <c r="K89" s="363">
        <v>615</v>
      </c>
      <c r="L89" s="363">
        <v>419</v>
      </c>
      <c r="M89" s="363">
        <v>4437</v>
      </c>
      <c r="N89" s="363">
        <v>6533</v>
      </c>
      <c r="O89" s="363">
        <v>56</v>
      </c>
      <c r="P89" s="363">
        <v>2</v>
      </c>
      <c r="Q89" s="363">
        <v>13</v>
      </c>
      <c r="R89" s="363">
        <v>0</v>
      </c>
      <c r="S89" s="363">
        <v>-244</v>
      </c>
      <c r="U89" s="363">
        <v>927</v>
      </c>
      <c r="V89" s="363">
        <v>0</v>
      </c>
      <c r="W89" s="363">
        <v>0</v>
      </c>
      <c r="X89" s="363">
        <v>-1171</v>
      </c>
      <c r="Y89" s="363">
        <v>13</v>
      </c>
      <c r="Z89" s="363">
        <v>0</v>
      </c>
      <c r="AA89" s="363">
        <v>0</v>
      </c>
      <c r="AB89" s="363">
        <v>-1158</v>
      </c>
      <c r="AD89" s="363">
        <v>3402</v>
      </c>
      <c r="AG89" s="363">
        <v>-594</v>
      </c>
      <c r="AH89" s="349"/>
      <c r="AJ89" s="363">
        <v>1105</v>
      </c>
      <c r="AL89" s="363">
        <v>6000</v>
      </c>
      <c r="AN89" s="349"/>
      <c r="AO89" s="454">
        <v>1597</v>
      </c>
      <c r="AP89" s="478">
        <v>21</v>
      </c>
      <c r="AQ89" s="213"/>
      <c r="AS89" s="509">
        <v>1981</v>
      </c>
      <c r="AT89" s="349">
        <v>13606</v>
      </c>
      <c r="AU89" s="480">
        <v>-11625</v>
      </c>
      <c r="AV89" s="199">
        <v>3872</v>
      </c>
      <c r="AW89" s="199">
        <v>707</v>
      </c>
      <c r="AX89" s="199">
        <v>382</v>
      </c>
      <c r="AY89" s="199">
        <v>4961</v>
      </c>
      <c r="AZ89" s="199">
        <v>7353</v>
      </c>
      <c r="BA89" s="181">
        <v>65</v>
      </c>
      <c r="BB89" s="511">
        <v>0</v>
      </c>
      <c r="BC89" s="181">
        <v>20</v>
      </c>
      <c r="BD89" s="181">
        <v>257</v>
      </c>
      <c r="BE89" s="199">
        <v>517</v>
      </c>
      <c r="BG89" s="183">
        <v>894</v>
      </c>
      <c r="BH89" s="183">
        <v>0</v>
      </c>
      <c r="BI89" s="199">
        <v>0</v>
      </c>
      <c r="BJ89" s="199">
        <v>-377</v>
      </c>
      <c r="BK89" s="199">
        <v>13</v>
      </c>
      <c r="BL89" s="183">
        <v>0</v>
      </c>
      <c r="BM89" s="183">
        <v>0</v>
      </c>
      <c r="BN89" s="199">
        <v>-364</v>
      </c>
      <c r="BP89" s="199">
        <v>3038</v>
      </c>
      <c r="BS89" s="211"/>
      <c r="BV89" s="514">
        <v>1046</v>
      </c>
      <c r="BX89" s="181">
        <v>6000</v>
      </c>
      <c r="BZ89" s="349"/>
      <c r="CB89" s="340"/>
      <c r="CC89" s="488">
        <v>21</v>
      </c>
      <c r="CD89" s="378"/>
      <c r="CE89" s="378"/>
      <c r="CF89" s="195"/>
      <c r="CG89" s="349"/>
      <c r="CI89" s="181">
        <v>6712</v>
      </c>
      <c r="CJ89" s="183">
        <v>0</v>
      </c>
      <c r="CK89" s="421">
        <v>7419.6407184147838</v>
      </c>
      <c r="CL89" s="494">
        <v>7900.0764003586555</v>
      </c>
      <c r="CM89" s="483">
        <v>2461.6570888701526</v>
      </c>
      <c r="CN89" s="483">
        <v>2523.9071050635584</v>
      </c>
      <c r="CO89" s="483">
        <v>2485.5741136550459</v>
      </c>
      <c r="CP89" s="433">
        <f t="shared" si="1"/>
        <v>-886.64071841478381</v>
      </c>
      <c r="CQ89" s="212"/>
      <c r="CR89" s="212">
        <v>243</v>
      </c>
      <c r="CS89" s="212">
        <v>-1358</v>
      </c>
      <c r="CT89" s="183">
        <v>0</v>
      </c>
      <c r="CU89" s="183">
        <v>17</v>
      </c>
      <c r="CV89" s="485">
        <v>100</v>
      </c>
      <c r="CX89" s="422"/>
      <c r="CY89" s="475"/>
      <c r="CZ89" s="450"/>
      <c r="DA89" s="394"/>
      <c r="DB89" s="394"/>
      <c r="DC89" s="347"/>
      <c r="DD89" s="394"/>
      <c r="DE89" s="394"/>
      <c r="DF89" s="394"/>
      <c r="DG89" s="394"/>
      <c r="DH89" s="394"/>
    </row>
    <row r="90" spans="1:112" x14ac:dyDescent="0.25">
      <c r="A90" s="179">
        <v>257</v>
      </c>
      <c r="B90" s="181" t="s">
        <v>123</v>
      </c>
      <c r="C90" s="373">
        <v>39586</v>
      </c>
      <c r="D90" s="360">
        <v>19.75</v>
      </c>
      <c r="E90" s="213"/>
      <c r="G90" s="363">
        <v>34217</v>
      </c>
      <c r="H90" s="363">
        <v>248385</v>
      </c>
      <c r="I90" s="349"/>
      <c r="J90" s="363">
        <v>171819</v>
      </c>
      <c r="K90" s="363">
        <v>6289</v>
      </c>
      <c r="L90" s="363">
        <v>11825</v>
      </c>
      <c r="M90" s="363">
        <v>189933</v>
      </c>
      <c r="N90" s="363">
        <v>22202</v>
      </c>
      <c r="O90" s="363">
        <v>29</v>
      </c>
      <c r="P90" s="363">
        <v>1124</v>
      </c>
      <c r="Q90" s="363">
        <v>489</v>
      </c>
      <c r="R90" s="363">
        <v>6</v>
      </c>
      <c r="S90" s="363">
        <v>-2645</v>
      </c>
      <c r="U90" s="363">
        <v>17602</v>
      </c>
      <c r="V90" s="363">
        <v>0</v>
      </c>
      <c r="W90" s="363">
        <v>0</v>
      </c>
      <c r="X90" s="363">
        <v>-20247</v>
      </c>
      <c r="Y90" s="363">
        <v>16</v>
      </c>
      <c r="Z90" s="363">
        <v>0</v>
      </c>
      <c r="AA90" s="363">
        <v>-22</v>
      </c>
      <c r="AB90" s="363">
        <v>-20253</v>
      </c>
      <c r="AD90" s="363">
        <v>2402</v>
      </c>
      <c r="AG90" s="363">
        <v>-42965</v>
      </c>
      <c r="AH90" s="349"/>
      <c r="AJ90" s="363">
        <v>15805</v>
      </c>
      <c r="AL90" s="363">
        <v>167849</v>
      </c>
      <c r="AN90" s="349"/>
      <c r="AO90" s="454">
        <v>40082</v>
      </c>
      <c r="AP90" s="478">
        <v>19.75</v>
      </c>
      <c r="AQ90" s="213"/>
      <c r="AS90" s="509">
        <v>29664</v>
      </c>
      <c r="AT90" s="349">
        <v>247551</v>
      </c>
      <c r="AU90" s="480">
        <v>-217887</v>
      </c>
      <c r="AV90" s="199">
        <v>185022</v>
      </c>
      <c r="AW90" s="199">
        <v>6124</v>
      </c>
      <c r="AX90" s="199">
        <v>10889</v>
      </c>
      <c r="AY90" s="199">
        <v>202035</v>
      </c>
      <c r="AZ90" s="199">
        <v>42100</v>
      </c>
      <c r="BA90" s="181">
        <v>71</v>
      </c>
      <c r="BB90" s="511">
        <v>1162</v>
      </c>
      <c r="BC90" s="181">
        <v>459</v>
      </c>
      <c r="BD90" s="181">
        <v>6</v>
      </c>
      <c r="BE90" s="199">
        <v>25610</v>
      </c>
      <c r="BG90" s="183">
        <v>18303</v>
      </c>
      <c r="BH90" s="183">
        <v>54</v>
      </c>
      <c r="BI90" s="183">
        <v>0</v>
      </c>
      <c r="BJ90" s="199">
        <v>7361</v>
      </c>
      <c r="BK90" s="199">
        <v>15</v>
      </c>
      <c r="BL90" s="199">
        <v>0</v>
      </c>
      <c r="BM90" s="199">
        <v>0</v>
      </c>
      <c r="BN90" s="199">
        <v>7376</v>
      </c>
      <c r="BP90" s="199">
        <v>9778</v>
      </c>
      <c r="BS90" s="211"/>
      <c r="BV90" s="514">
        <v>29689</v>
      </c>
      <c r="BX90" s="181">
        <v>211576</v>
      </c>
      <c r="BZ90" s="349"/>
      <c r="CB90" s="340"/>
      <c r="CC90" s="488">
        <v>19.75</v>
      </c>
      <c r="CD90" s="378"/>
      <c r="CE90" s="378"/>
      <c r="CF90" s="195"/>
      <c r="CG90" s="349"/>
      <c r="CI90" s="181">
        <v>23248</v>
      </c>
      <c r="CJ90" s="183">
        <v>0</v>
      </c>
      <c r="CK90" s="421">
        <v>31303.748832552625</v>
      </c>
      <c r="CL90" s="494">
        <v>34452.945763603137</v>
      </c>
      <c r="CM90" s="483">
        <v>20914.083030727401</v>
      </c>
      <c r="CN90" s="483">
        <v>21601.34930685825</v>
      </c>
      <c r="CO90" s="483">
        <v>22181.005838732108</v>
      </c>
      <c r="CP90" s="433">
        <f t="shared" si="1"/>
        <v>-9101.7488325526247</v>
      </c>
      <c r="CQ90" s="212"/>
      <c r="CR90" s="212">
        <v>-2380</v>
      </c>
      <c r="CS90" s="212">
        <v>-58072</v>
      </c>
      <c r="CT90" s="183">
        <v>2560</v>
      </c>
      <c r="CU90" s="183">
        <v>2802</v>
      </c>
      <c r="CV90" s="485">
        <v>191</v>
      </c>
      <c r="CX90" s="422"/>
      <c r="CY90" s="475"/>
      <c r="CZ90" s="450"/>
      <c r="DA90" s="394"/>
      <c r="DB90" s="394"/>
      <c r="DC90" s="347"/>
      <c r="DD90" s="394"/>
      <c r="DE90" s="394"/>
      <c r="DF90" s="394"/>
      <c r="DG90" s="394"/>
      <c r="DH90" s="394"/>
    </row>
    <row r="91" spans="1:112" x14ac:dyDescent="0.25">
      <c r="A91" s="179">
        <v>260</v>
      </c>
      <c r="B91" s="181" t="s">
        <v>124</v>
      </c>
      <c r="C91" s="373">
        <v>10136</v>
      </c>
      <c r="D91" s="360">
        <v>21</v>
      </c>
      <c r="E91" s="213"/>
      <c r="G91" s="363">
        <v>8837</v>
      </c>
      <c r="H91" s="363">
        <v>74604</v>
      </c>
      <c r="I91" s="349"/>
      <c r="J91" s="363">
        <v>27059</v>
      </c>
      <c r="K91" s="363">
        <v>2199</v>
      </c>
      <c r="L91" s="363">
        <v>2978</v>
      </c>
      <c r="M91" s="363">
        <v>32236</v>
      </c>
      <c r="N91" s="363">
        <v>37168</v>
      </c>
      <c r="O91" s="363">
        <v>12</v>
      </c>
      <c r="P91" s="363">
        <v>36</v>
      </c>
      <c r="Q91" s="363">
        <v>410</v>
      </c>
      <c r="R91" s="363">
        <v>0</v>
      </c>
      <c r="S91" s="363">
        <v>4023</v>
      </c>
      <c r="U91" s="363">
        <v>2871</v>
      </c>
      <c r="V91" s="363">
        <v>0</v>
      </c>
      <c r="W91" s="363">
        <v>0</v>
      </c>
      <c r="X91" s="363">
        <v>1152</v>
      </c>
      <c r="Y91" s="363">
        <v>39</v>
      </c>
      <c r="Z91" s="363">
        <v>0</v>
      </c>
      <c r="AA91" s="363">
        <v>0</v>
      </c>
      <c r="AB91" s="363">
        <v>1191</v>
      </c>
      <c r="AD91" s="363">
        <v>20572</v>
      </c>
      <c r="AG91" s="363">
        <v>-1766</v>
      </c>
      <c r="AH91" s="349"/>
      <c r="AJ91" s="363">
        <v>4772</v>
      </c>
      <c r="AL91" s="363">
        <v>3493</v>
      </c>
      <c r="AN91" s="349"/>
      <c r="AO91" s="454">
        <v>9933</v>
      </c>
      <c r="AP91" s="478">
        <v>21</v>
      </c>
      <c r="AQ91" s="213"/>
      <c r="AS91" s="509">
        <v>8298</v>
      </c>
      <c r="AT91" s="349">
        <v>76648</v>
      </c>
      <c r="AU91" s="480">
        <v>-68350</v>
      </c>
      <c r="AV91" s="199">
        <v>27559</v>
      </c>
      <c r="AW91" s="199">
        <v>2464</v>
      </c>
      <c r="AX91" s="199">
        <v>2649</v>
      </c>
      <c r="AY91" s="199">
        <v>32672</v>
      </c>
      <c r="AZ91" s="199">
        <v>42127</v>
      </c>
      <c r="BA91" s="181">
        <v>12</v>
      </c>
      <c r="BB91" s="511">
        <v>27</v>
      </c>
      <c r="BC91" s="181">
        <v>395</v>
      </c>
      <c r="BD91" s="181">
        <v>1</v>
      </c>
      <c r="BE91" s="199">
        <v>6828</v>
      </c>
      <c r="BG91" s="183">
        <v>3763</v>
      </c>
      <c r="BH91" s="183">
        <v>0</v>
      </c>
      <c r="BI91" s="183">
        <v>0</v>
      </c>
      <c r="BJ91" s="199">
        <v>3065</v>
      </c>
      <c r="BK91" s="199">
        <v>28</v>
      </c>
      <c r="BL91" s="199">
        <v>0</v>
      </c>
      <c r="BM91" s="183">
        <v>0</v>
      </c>
      <c r="BN91" s="199">
        <v>3093</v>
      </c>
      <c r="BP91" s="199">
        <v>23665</v>
      </c>
      <c r="BS91" s="211"/>
      <c r="BV91" s="514">
        <v>9092</v>
      </c>
      <c r="BX91" s="181">
        <v>4293</v>
      </c>
      <c r="BZ91" s="349"/>
      <c r="CB91" s="340"/>
      <c r="CC91" s="488">
        <v>21</v>
      </c>
      <c r="CD91" s="378"/>
      <c r="CE91" s="378"/>
      <c r="CF91" s="195"/>
      <c r="CG91" s="349"/>
      <c r="CH91" s="347"/>
      <c r="CI91" s="181">
        <v>20251</v>
      </c>
      <c r="CJ91" s="183">
        <v>0</v>
      </c>
      <c r="CK91" s="421">
        <v>40994.813514566122</v>
      </c>
      <c r="CL91" s="494">
        <v>42546.136834040066</v>
      </c>
      <c r="CM91" s="483">
        <v>14708.078006977465</v>
      </c>
      <c r="CN91" s="483">
        <v>14041.100053381329</v>
      </c>
      <c r="CO91" s="483">
        <v>13386.069176277641</v>
      </c>
      <c r="CP91" s="433">
        <f t="shared" si="1"/>
        <v>-3826.8135145661217</v>
      </c>
      <c r="CQ91" s="212"/>
      <c r="CR91" s="212">
        <v>191</v>
      </c>
      <c r="CS91" s="212">
        <v>-3510</v>
      </c>
      <c r="CT91" s="183">
        <v>176</v>
      </c>
      <c r="CU91" s="183">
        <v>179</v>
      </c>
      <c r="CV91" s="485">
        <v>-141</v>
      </c>
      <c r="CX91" s="422"/>
      <c r="CY91" s="475"/>
      <c r="CZ91" s="450"/>
      <c r="DA91" s="394"/>
      <c r="DB91" s="394"/>
      <c r="DC91" s="347"/>
      <c r="DD91" s="394"/>
      <c r="DE91" s="394"/>
      <c r="DF91" s="394"/>
      <c r="DG91" s="394"/>
      <c r="DH91" s="394"/>
    </row>
    <row r="92" spans="1:112" x14ac:dyDescent="0.25">
      <c r="A92" s="179">
        <v>261</v>
      </c>
      <c r="B92" s="181" t="s">
        <v>125</v>
      </c>
      <c r="C92" s="373">
        <v>6453</v>
      </c>
      <c r="D92" s="360">
        <v>20.25</v>
      </c>
      <c r="E92" s="213"/>
      <c r="G92" s="363">
        <v>7730</v>
      </c>
      <c r="H92" s="363">
        <v>56383</v>
      </c>
      <c r="I92" s="349"/>
      <c r="J92" s="363">
        <v>20938</v>
      </c>
      <c r="K92" s="363">
        <v>2580</v>
      </c>
      <c r="L92" s="363">
        <v>7034</v>
      </c>
      <c r="M92" s="363">
        <v>30552</v>
      </c>
      <c r="N92" s="363">
        <v>22867</v>
      </c>
      <c r="O92" s="363">
        <v>0</v>
      </c>
      <c r="P92" s="363">
        <v>176</v>
      </c>
      <c r="Q92" s="363">
        <v>1586</v>
      </c>
      <c r="R92" s="363">
        <v>3</v>
      </c>
      <c r="S92" s="363">
        <v>6173</v>
      </c>
      <c r="U92" s="363">
        <v>2799</v>
      </c>
      <c r="V92" s="363">
        <v>0</v>
      </c>
      <c r="W92" s="363">
        <v>0</v>
      </c>
      <c r="X92" s="363">
        <v>3374</v>
      </c>
      <c r="Y92" s="363">
        <v>162</v>
      </c>
      <c r="Z92" s="363">
        <v>0</v>
      </c>
      <c r="AA92" s="363">
        <v>0</v>
      </c>
      <c r="AB92" s="363">
        <v>3536</v>
      </c>
      <c r="AD92" s="363">
        <v>18681</v>
      </c>
      <c r="AG92" s="363">
        <v>-4139</v>
      </c>
      <c r="AH92" s="349"/>
      <c r="AJ92" s="363">
        <v>1622</v>
      </c>
      <c r="AL92" s="363">
        <v>16620</v>
      </c>
      <c r="AN92" s="349"/>
      <c r="AO92" s="454">
        <v>6436</v>
      </c>
      <c r="AP92" s="478">
        <v>20.25</v>
      </c>
      <c r="AQ92" s="213"/>
      <c r="AS92" s="509">
        <v>8165</v>
      </c>
      <c r="AT92" s="349">
        <v>57982</v>
      </c>
      <c r="AU92" s="480">
        <v>-49817</v>
      </c>
      <c r="AV92" s="199">
        <v>22001</v>
      </c>
      <c r="AW92" s="199">
        <v>2733</v>
      </c>
      <c r="AX92" s="199">
        <v>6606</v>
      </c>
      <c r="AY92" s="199">
        <v>31340</v>
      </c>
      <c r="AZ92" s="199">
        <v>25369</v>
      </c>
      <c r="BA92" s="181">
        <v>0</v>
      </c>
      <c r="BB92" s="511">
        <v>115</v>
      </c>
      <c r="BC92" s="181">
        <v>1665</v>
      </c>
      <c r="BD92" s="181">
        <v>4</v>
      </c>
      <c r="BE92" s="199">
        <v>8438</v>
      </c>
      <c r="BG92" s="183">
        <v>4623</v>
      </c>
      <c r="BH92" s="199">
        <v>0</v>
      </c>
      <c r="BI92" s="183">
        <v>0</v>
      </c>
      <c r="BJ92" s="199">
        <v>3815</v>
      </c>
      <c r="BK92" s="183">
        <v>-1359</v>
      </c>
      <c r="BL92" s="199">
        <v>1550</v>
      </c>
      <c r="BM92" s="183">
        <v>0</v>
      </c>
      <c r="BN92" s="199">
        <v>4006</v>
      </c>
      <c r="BP92" s="199">
        <v>22687</v>
      </c>
      <c r="BS92" s="211"/>
      <c r="BV92" s="514">
        <v>1934</v>
      </c>
      <c r="BX92" s="181">
        <v>12734</v>
      </c>
      <c r="BZ92" s="349"/>
      <c r="CB92" s="340"/>
      <c r="CC92" s="488">
        <v>20.25</v>
      </c>
      <c r="CD92" s="378"/>
      <c r="CE92" s="378"/>
      <c r="CF92" s="195"/>
      <c r="CG92" s="349"/>
      <c r="CI92" s="181">
        <v>16777</v>
      </c>
      <c r="CJ92" s="183">
        <v>0</v>
      </c>
      <c r="CK92" s="421">
        <v>23823.113215016372</v>
      </c>
      <c r="CL92" s="494">
        <v>24960.257423336068</v>
      </c>
      <c r="CM92" s="483">
        <v>8725.2704364294586</v>
      </c>
      <c r="CN92" s="483">
        <v>8804.6133171296151</v>
      </c>
      <c r="CO92" s="483">
        <v>8918.9231130708249</v>
      </c>
      <c r="CP92" s="433">
        <f t="shared" si="1"/>
        <v>-956.11321501637212</v>
      </c>
      <c r="CQ92" s="212"/>
      <c r="CR92" s="212">
        <v>-621</v>
      </c>
      <c r="CS92" s="212">
        <v>-4081</v>
      </c>
      <c r="CT92" s="183">
        <v>25</v>
      </c>
      <c r="CU92" s="183">
        <v>630</v>
      </c>
      <c r="CV92" s="485">
        <v>-301</v>
      </c>
      <c r="CX92" s="422"/>
      <c r="CY92" s="475"/>
      <c r="CZ92" s="450"/>
      <c r="DA92" s="394"/>
      <c r="DB92" s="394"/>
      <c r="DC92" s="347"/>
      <c r="DD92" s="394"/>
      <c r="DE92" s="394"/>
      <c r="DF92" s="394"/>
      <c r="DG92" s="394"/>
      <c r="DH92" s="394"/>
    </row>
    <row r="93" spans="1:112" x14ac:dyDescent="0.25">
      <c r="A93" s="179">
        <v>263</v>
      </c>
      <c r="B93" s="181" t="s">
        <v>126</v>
      </c>
      <c r="C93" s="373">
        <v>7998</v>
      </c>
      <c r="D93" s="360">
        <v>20.75</v>
      </c>
      <c r="E93" s="213"/>
      <c r="G93" s="363">
        <v>7048</v>
      </c>
      <c r="H93" s="363">
        <v>61202</v>
      </c>
      <c r="I93" s="349"/>
      <c r="J93" s="363">
        <v>19910</v>
      </c>
      <c r="K93" s="363">
        <v>1917</v>
      </c>
      <c r="L93" s="363">
        <v>1719</v>
      </c>
      <c r="M93" s="363">
        <v>23546</v>
      </c>
      <c r="N93" s="363">
        <v>30052</v>
      </c>
      <c r="O93" s="363">
        <v>16</v>
      </c>
      <c r="P93" s="363">
        <v>201</v>
      </c>
      <c r="Q93" s="363">
        <v>1240</v>
      </c>
      <c r="R93" s="363">
        <v>140</v>
      </c>
      <c r="S93" s="363">
        <v>359</v>
      </c>
      <c r="U93" s="363">
        <v>3639</v>
      </c>
      <c r="V93" s="363">
        <v>0</v>
      </c>
      <c r="W93" s="363">
        <v>0</v>
      </c>
      <c r="X93" s="363">
        <v>-3280</v>
      </c>
      <c r="Y93" s="363">
        <v>19</v>
      </c>
      <c r="Z93" s="363">
        <v>0</v>
      </c>
      <c r="AA93" s="363">
        <v>0</v>
      </c>
      <c r="AB93" s="363">
        <v>-3261</v>
      </c>
      <c r="AD93" s="363">
        <v>-3402</v>
      </c>
      <c r="AG93" s="363">
        <v>-2919</v>
      </c>
      <c r="AH93" s="349"/>
      <c r="AJ93" s="363">
        <v>6584</v>
      </c>
      <c r="AL93" s="363">
        <v>32975</v>
      </c>
      <c r="AN93" s="349"/>
      <c r="AO93" s="454">
        <v>7854</v>
      </c>
      <c r="AP93" s="478">
        <v>21.75</v>
      </c>
      <c r="AQ93" s="213"/>
      <c r="AS93" s="509">
        <v>7897</v>
      </c>
      <c r="AT93" s="349">
        <v>60868</v>
      </c>
      <c r="AU93" s="480">
        <v>-52971</v>
      </c>
      <c r="AV93" s="199">
        <v>20758</v>
      </c>
      <c r="AW93" s="199">
        <v>2225</v>
      </c>
      <c r="AX93" s="199">
        <v>1563</v>
      </c>
      <c r="AY93" s="199">
        <v>24546</v>
      </c>
      <c r="AZ93" s="199">
        <v>35054</v>
      </c>
      <c r="BA93" s="181">
        <v>19</v>
      </c>
      <c r="BB93" s="511">
        <v>170</v>
      </c>
      <c r="BC93" s="181">
        <v>1077</v>
      </c>
      <c r="BD93" s="181">
        <v>202</v>
      </c>
      <c r="BE93" s="199">
        <v>7353</v>
      </c>
      <c r="BG93" s="183">
        <v>3945</v>
      </c>
      <c r="BH93" s="183">
        <v>0</v>
      </c>
      <c r="BI93" s="183">
        <v>0</v>
      </c>
      <c r="BJ93" s="199">
        <v>3408</v>
      </c>
      <c r="BK93" s="199">
        <v>2</v>
      </c>
      <c r="BL93" s="183">
        <v>0</v>
      </c>
      <c r="BM93" s="183">
        <v>0</v>
      </c>
      <c r="BN93" s="199">
        <v>3410</v>
      </c>
      <c r="BP93" s="199">
        <v>8</v>
      </c>
      <c r="BS93" s="211"/>
      <c r="BV93" s="514">
        <v>7961</v>
      </c>
      <c r="BX93" s="181">
        <v>31747</v>
      </c>
      <c r="BZ93" s="349"/>
      <c r="CB93" s="340"/>
      <c r="CC93" s="488">
        <v>21.75</v>
      </c>
      <c r="CD93" s="378"/>
      <c r="CE93" s="378"/>
      <c r="CF93" s="195"/>
      <c r="CG93" s="349"/>
      <c r="CI93" s="181">
        <v>27709</v>
      </c>
      <c r="CJ93" s="183">
        <v>0</v>
      </c>
      <c r="CK93" s="421">
        <v>33141.926977851545</v>
      </c>
      <c r="CL93" s="494">
        <v>33539.325003052043</v>
      </c>
      <c r="CM93" s="483">
        <v>6553.3365475268256</v>
      </c>
      <c r="CN93" s="483">
        <v>6320.7094293321843</v>
      </c>
      <c r="CO93" s="483">
        <v>6036.0181829603107</v>
      </c>
      <c r="CP93" s="433">
        <f t="shared" si="1"/>
        <v>-3089.9269778515445</v>
      </c>
      <c r="CQ93" s="212"/>
      <c r="CR93" s="212">
        <v>-745</v>
      </c>
      <c r="CS93" s="212">
        <v>-3984</v>
      </c>
      <c r="CT93" s="183">
        <v>280</v>
      </c>
      <c r="CU93" s="183">
        <v>868</v>
      </c>
      <c r="CV93" s="485">
        <v>133</v>
      </c>
      <c r="CX93" s="422"/>
      <c r="CY93" s="475"/>
      <c r="CZ93" s="450"/>
      <c r="DA93" s="394"/>
      <c r="DB93" s="394"/>
      <c r="DC93" s="347"/>
      <c r="DD93" s="394"/>
      <c r="DE93" s="394"/>
      <c r="DF93" s="394"/>
      <c r="DG93" s="394"/>
      <c r="DH93" s="394"/>
    </row>
    <row r="94" spans="1:112" x14ac:dyDescent="0.25">
      <c r="A94" s="179">
        <v>265</v>
      </c>
      <c r="B94" s="181" t="s">
        <v>127</v>
      </c>
      <c r="C94" s="373">
        <v>1096</v>
      </c>
      <c r="D94" s="360">
        <v>21.5</v>
      </c>
      <c r="E94" s="213"/>
      <c r="G94" s="363">
        <v>1537</v>
      </c>
      <c r="H94" s="363">
        <v>9685</v>
      </c>
      <c r="I94" s="349"/>
      <c r="J94" s="363">
        <v>2464</v>
      </c>
      <c r="K94" s="363">
        <v>660</v>
      </c>
      <c r="L94" s="363">
        <v>447</v>
      </c>
      <c r="M94" s="363">
        <v>3571</v>
      </c>
      <c r="N94" s="363">
        <v>4637</v>
      </c>
      <c r="O94" s="363">
        <v>0</v>
      </c>
      <c r="P94" s="363">
        <v>33</v>
      </c>
      <c r="Q94" s="363">
        <v>4</v>
      </c>
      <c r="R94" s="363">
        <v>1711</v>
      </c>
      <c r="S94" s="363">
        <v>-1680</v>
      </c>
      <c r="U94" s="363">
        <v>620</v>
      </c>
      <c r="V94" s="363">
        <v>0</v>
      </c>
      <c r="W94" s="363">
        <v>0</v>
      </c>
      <c r="X94" s="363">
        <v>-2300</v>
      </c>
      <c r="Y94" s="363">
        <v>20</v>
      </c>
      <c r="Z94" s="363">
        <v>0</v>
      </c>
      <c r="AA94" s="363">
        <v>0</v>
      </c>
      <c r="AB94" s="363">
        <v>-2280</v>
      </c>
      <c r="AD94" s="363">
        <v>843</v>
      </c>
      <c r="AG94" s="363">
        <v>-146</v>
      </c>
      <c r="AH94" s="349"/>
      <c r="AJ94" s="363">
        <v>925</v>
      </c>
      <c r="AL94" s="363">
        <v>3942</v>
      </c>
      <c r="AN94" s="349"/>
      <c r="AO94" s="454">
        <v>1107</v>
      </c>
      <c r="AP94" s="478">
        <v>21.75</v>
      </c>
      <c r="AQ94" s="213"/>
      <c r="AS94" s="509">
        <v>1559</v>
      </c>
      <c r="AT94" s="349">
        <v>9195</v>
      </c>
      <c r="AU94" s="480">
        <v>-7636</v>
      </c>
      <c r="AV94" s="199">
        <v>2680</v>
      </c>
      <c r="AW94" s="199">
        <v>753</v>
      </c>
      <c r="AX94" s="199">
        <v>461</v>
      </c>
      <c r="AY94" s="199">
        <v>3894</v>
      </c>
      <c r="AZ94" s="199">
        <v>5128</v>
      </c>
      <c r="BA94" s="181">
        <v>0</v>
      </c>
      <c r="BB94" s="511">
        <v>35</v>
      </c>
      <c r="BC94" s="181">
        <v>3</v>
      </c>
      <c r="BD94" s="181">
        <v>6</v>
      </c>
      <c r="BE94" s="199">
        <v>1348</v>
      </c>
      <c r="BG94" s="183">
        <v>699</v>
      </c>
      <c r="BH94" s="199">
        <v>0</v>
      </c>
      <c r="BI94" s="183">
        <v>0</v>
      </c>
      <c r="BJ94" s="199">
        <v>649</v>
      </c>
      <c r="BK94" s="183">
        <v>20</v>
      </c>
      <c r="BL94" s="183">
        <v>0</v>
      </c>
      <c r="BM94" s="183">
        <v>0</v>
      </c>
      <c r="BN94" s="199">
        <v>669</v>
      </c>
      <c r="BP94" s="199">
        <v>1513</v>
      </c>
      <c r="BS94" s="211"/>
      <c r="BV94" s="514">
        <v>1705</v>
      </c>
      <c r="BX94" s="181">
        <v>5285</v>
      </c>
      <c r="BZ94" s="349"/>
      <c r="CB94" s="340"/>
      <c r="CC94" s="488">
        <v>21.75</v>
      </c>
      <c r="CD94" s="378"/>
      <c r="CE94" s="378"/>
      <c r="CF94" s="195"/>
      <c r="CG94" s="349"/>
      <c r="CI94" s="181">
        <v>5040</v>
      </c>
      <c r="CJ94" s="183">
        <v>0</v>
      </c>
      <c r="CK94" s="421">
        <v>5142.0001258060056</v>
      </c>
      <c r="CL94" s="494">
        <v>5481.298155537017</v>
      </c>
      <c r="CM94" s="483">
        <v>1034.7089315610065</v>
      </c>
      <c r="CN94" s="483">
        <v>890.40367592294444</v>
      </c>
      <c r="CO94" s="483">
        <v>795.41263455771616</v>
      </c>
      <c r="CP94" s="433">
        <f t="shared" si="1"/>
        <v>-505.0001258060056</v>
      </c>
      <c r="CQ94" s="212"/>
      <c r="CR94" s="212">
        <v>-1750</v>
      </c>
      <c r="CS94" s="212">
        <v>-442</v>
      </c>
      <c r="CT94" s="183">
        <v>197</v>
      </c>
      <c r="CU94" s="183">
        <v>43</v>
      </c>
      <c r="CV94" s="485">
        <v>-42</v>
      </c>
      <c r="CX94" s="422"/>
      <c r="CY94" s="475"/>
      <c r="CZ94" s="450"/>
      <c r="DA94" s="394"/>
      <c r="DB94" s="394"/>
      <c r="DC94" s="347"/>
      <c r="DD94" s="394"/>
      <c r="DE94" s="394"/>
      <c r="DF94" s="394"/>
      <c r="DG94" s="394"/>
      <c r="DH94" s="394"/>
    </row>
    <row r="95" spans="1:112" x14ac:dyDescent="0.25">
      <c r="A95" s="179">
        <v>271</v>
      </c>
      <c r="B95" s="181" t="s">
        <v>128</v>
      </c>
      <c r="C95" s="373">
        <v>7103</v>
      </c>
      <c r="D95" s="360">
        <v>21.75</v>
      </c>
      <c r="E95" s="213"/>
      <c r="G95" s="363">
        <v>4945</v>
      </c>
      <c r="H95" s="363">
        <v>48291</v>
      </c>
      <c r="I95" s="349"/>
      <c r="J95" s="363">
        <v>22135</v>
      </c>
      <c r="K95" s="363">
        <v>1247</v>
      </c>
      <c r="L95" s="363">
        <v>2481</v>
      </c>
      <c r="M95" s="363">
        <v>25863</v>
      </c>
      <c r="N95" s="363">
        <v>17810</v>
      </c>
      <c r="O95" s="363">
        <v>157</v>
      </c>
      <c r="P95" s="363">
        <v>123</v>
      </c>
      <c r="Q95" s="363">
        <v>113</v>
      </c>
      <c r="R95" s="363">
        <v>47</v>
      </c>
      <c r="S95" s="363">
        <v>427</v>
      </c>
      <c r="U95" s="363">
        <v>1658</v>
      </c>
      <c r="V95" s="363">
        <v>93</v>
      </c>
      <c r="W95" s="363">
        <v>0</v>
      </c>
      <c r="X95" s="363">
        <v>-1138</v>
      </c>
      <c r="Y95" s="363">
        <v>0</v>
      </c>
      <c r="Z95" s="363">
        <v>0</v>
      </c>
      <c r="AA95" s="363">
        <v>0</v>
      </c>
      <c r="AB95" s="363">
        <v>-1138</v>
      </c>
      <c r="AD95" s="363">
        <v>-744</v>
      </c>
      <c r="AG95" s="363">
        <v>-2116</v>
      </c>
      <c r="AH95" s="349"/>
      <c r="AJ95" s="363">
        <v>26</v>
      </c>
      <c r="AL95" s="363">
        <v>22838</v>
      </c>
      <c r="AN95" s="349"/>
      <c r="AO95" s="454">
        <v>7013</v>
      </c>
      <c r="AP95" s="478">
        <v>21.75</v>
      </c>
      <c r="AQ95" s="213"/>
      <c r="AS95" s="509">
        <v>4776</v>
      </c>
      <c r="AT95" s="349">
        <v>47159</v>
      </c>
      <c r="AU95" s="480">
        <v>-42383</v>
      </c>
      <c r="AV95" s="199">
        <v>22895</v>
      </c>
      <c r="AW95" s="199">
        <v>1302</v>
      </c>
      <c r="AX95" s="199">
        <v>2393</v>
      </c>
      <c r="AY95" s="199">
        <v>26590</v>
      </c>
      <c r="AZ95" s="199">
        <v>21327</v>
      </c>
      <c r="BA95" s="181">
        <v>119</v>
      </c>
      <c r="BB95" s="511">
        <v>114</v>
      </c>
      <c r="BC95" s="181">
        <v>119</v>
      </c>
      <c r="BD95" s="181">
        <v>19</v>
      </c>
      <c r="BE95" s="199">
        <v>5639</v>
      </c>
      <c r="BG95" s="183">
        <v>2300</v>
      </c>
      <c r="BH95" s="183">
        <v>0</v>
      </c>
      <c r="BI95" s="199">
        <v>0</v>
      </c>
      <c r="BJ95" s="199">
        <v>3339</v>
      </c>
      <c r="BK95" s="183">
        <v>0</v>
      </c>
      <c r="BL95" s="183">
        <v>0</v>
      </c>
      <c r="BM95" s="183">
        <v>0</v>
      </c>
      <c r="BN95" s="199">
        <v>3339</v>
      </c>
      <c r="BP95" s="199">
        <v>2595</v>
      </c>
      <c r="BS95" s="211"/>
      <c r="BV95" s="514">
        <v>2410</v>
      </c>
      <c r="BX95" s="181">
        <v>23867</v>
      </c>
      <c r="BZ95" s="349"/>
      <c r="CB95" s="340"/>
      <c r="CC95" s="488">
        <v>21.75</v>
      </c>
      <c r="CD95" s="378"/>
      <c r="CE95" s="378"/>
      <c r="CF95" s="195"/>
      <c r="CG95" s="349"/>
      <c r="CI95" s="181">
        <v>16561</v>
      </c>
      <c r="CJ95" s="183">
        <v>0</v>
      </c>
      <c r="CK95" s="421">
        <v>19244.947186526177</v>
      </c>
      <c r="CL95" s="494">
        <v>20590.926851878787</v>
      </c>
      <c r="CM95" s="483">
        <v>2359.9711036830067</v>
      </c>
      <c r="CN95" s="483">
        <v>2380.0560252493224</v>
      </c>
      <c r="CO95" s="483">
        <v>2492.9732086834811</v>
      </c>
      <c r="CP95" s="433">
        <f t="shared" si="1"/>
        <v>-1434.9471865261767</v>
      </c>
      <c r="CQ95" s="212"/>
      <c r="CR95" s="212">
        <v>-60</v>
      </c>
      <c r="CS95" s="212">
        <v>-4801</v>
      </c>
      <c r="CT95" s="183">
        <v>8</v>
      </c>
      <c r="CU95" s="183">
        <v>78</v>
      </c>
      <c r="CV95" s="485">
        <v>-85</v>
      </c>
      <c r="CX95" s="422"/>
      <c r="CY95" s="475"/>
      <c r="CZ95" s="450"/>
      <c r="DA95" s="394"/>
      <c r="DB95" s="394"/>
      <c r="DC95" s="347"/>
      <c r="DD95" s="394"/>
      <c r="DE95" s="394"/>
      <c r="DF95" s="394"/>
      <c r="DG95" s="394"/>
      <c r="DH95" s="394"/>
    </row>
    <row r="96" spans="1:112" x14ac:dyDescent="0.25">
      <c r="A96" s="179">
        <v>272</v>
      </c>
      <c r="B96" s="181" t="s">
        <v>129</v>
      </c>
      <c r="C96" s="373">
        <v>47681</v>
      </c>
      <c r="D96" s="360">
        <v>21.75</v>
      </c>
      <c r="E96" s="213"/>
      <c r="G96" s="363">
        <v>46816</v>
      </c>
      <c r="H96" s="363">
        <v>320050</v>
      </c>
      <c r="I96" s="349"/>
      <c r="J96" s="363">
        <v>162710</v>
      </c>
      <c r="K96" s="363">
        <v>16757</v>
      </c>
      <c r="L96" s="363">
        <v>15729</v>
      </c>
      <c r="M96" s="363">
        <v>195196</v>
      </c>
      <c r="N96" s="363">
        <v>89006</v>
      </c>
      <c r="O96" s="363">
        <v>88</v>
      </c>
      <c r="P96" s="363">
        <v>2114</v>
      </c>
      <c r="Q96" s="363">
        <v>3140</v>
      </c>
      <c r="R96" s="363">
        <v>267</v>
      </c>
      <c r="S96" s="363">
        <v>11815</v>
      </c>
      <c r="U96" s="363">
        <v>15059</v>
      </c>
      <c r="V96" s="363">
        <v>0</v>
      </c>
      <c r="W96" s="363">
        <v>0</v>
      </c>
      <c r="X96" s="363">
        <v>-3244</v>
      </c>
      <c r="Y96" s="363">
        <v>452</v>
      </c>
      <c r="Z96" s="363">
        <v>137</v>
      </c>
      <c r="AA96" s="363">
        <v>162</v>
      </c>
      <c r="AB96" s="363">
        <v>-2493</v>
      </c>
      <c r="AD96" s="363">
        <v>11374</v>
      </c>
      <c r="AG96" s="363">
        <v>-17531</v>
      </c>
      <c r="AH96" s="349"/>
      <c r="AJ96" s="363">
        <v>11239</v>
      </c>
      <c r="AL96" s="363">
        <v>222890</v>
      </c>
      <c r="AN96" s="349"/>
      <c r="AO96" s="454">
        <v>47772</v>
      </c>
      <c r="AP96" s="478">
        <v>21.5</v>
      </c>
      <c r="AQ96" s="213"/>
      <c r="AS96" s="509">
        <v>43100</v>
      </c>
      <c r="AT96" s="349">
        <v>324628</v>
      </c>
      <c r="AU96" s="480">
        <v>-281528</v>
      </c>
      <c r="AV96" s="199">
        <v>168285</v>
      </c>
      <c r="AW96" s="199">
        <v>19140</v>
      </c>
      <c r="AX96" s="199">
        <v>14499</v>
      </c>
      <c r="AY96" s="199">
        <v>201924</v>
      </c>
      <c r="AZ96" s="199">
        <v>109533</v>
      </c>
      <c r="BA96" s="181">
        <v>117</v>
      </c>
      <c r="BB96" s="511">
        <v>2364</v>
      </c>
      <c r="BC96" s="181">
        <v>2720</v>
      </c>
      <c r="BD96" s="181">
        <v>623</v>
      </c>
      <c r="BE96" s="199">
        <v>29779</v>
      </c>
      <c r="BG96" s="183">
        <v>17459</v>
      </c>
      <c r="BH96" s="199">
        <v>0</v>
      </c>
      <c r="BI96" s="183">
        <v>0</v>
      </c>
      <c r="BJ96" s="199">
        <v>12320</v>
      </c>
      <c r="BK96" s="199">
        <v>-1677</v>
      </c>
      <c r="BL96" s="199">
        <v>2180</v>
      </c>
      <c r="BM96" s="199">
        <v>-486</v>
      </c>
      <c r="BN96" s="199">
        <v>12337</v>
      </c>
      <c r="BP96" s="199">
        <v>24055</v>
      </c>
      <c r="BS96" s="211"/>
      <c r="BV96" s="514">
        <v>43587</v>
      </c>
      <c r="BX96" s="181">
        <v>246315</v>
      </c>
      <c r="BZ96" s="349"/>
      <c r="CB96" s="340"/>
      <c r="CC96" s="488">
        <v>21.5</v>
      </c>
      <c r="CD96" s="378"/>
      <c r="CE96" s="378"/>
      <c r="CF96" s="195"/>
      <c r="CG96" s="349"/>
      <c r="CI96" s="181">
        <v>66787</v>
      </c>
      <c r="CJ96" s="183">
        <v>0</v>
      </c>
      <c r="CK96" s="421">
        <v>103092.49375949554</v>
      </c>
      <c r="CL96" s="494">
        <v>110324.0493812887</v>
      </c>
      <c r="CM96" s="483">
        <v>24794.735872217308</v>
      </c>
      <c r="CN96" s="483">
        <v>27046.492256751022</v>
      </c>
      <c r="CO96" s="483">
        <v>28340.162788626214</v>
      </c>
      <c r="CP96" s="433">
        <f t="shared" si="1"/>
        <v>-14086.493759495541</v>
      </c>
      <c r="CQ96" s="212"/>
      <c r="CR96" s="212">
        <v>-1270</v>
      </c>
      <c r="CS96" s="212">
        <v>-18814</v>
      </c>
      <c r="CT96" s="183">
        <v>1128</v>
      </c>
      <c r="CU96" s="183">
        <v>2049</v>
      </c>
      <c r="CV96" s="485">
        <v>-5893</v>
      </c>
      <c r="CX96" s="422"/>
      <c r="CY96" s="475"/>
      <c r="CZ96" s="450"/>
      <c r="DA96" s="394"/>
      <c r="DB96" s="394"/>
      <c r="DC96" s="347"/>
      <c r="DD96" s="394"/>
      <c r="DE96" s="394"/>
      <c r="DF96" s="394"/>
      <c r="DG96" s="394"/>
      <c r="DH96" s="394"/>
    </row>
    <row r="97" spans="1:112" ht="14.5" x14ac:dyDescent="0.35">
      <c r="B97" s="200" t="s">
        <v>437</v>
      </c>
      <c r="C97" s="373">
        <v>5495408</v>
      </c>
      <c r="D97" s="360">
        <v>19.899999999999999</v>
      </c>
      <c r="E97" s="213"/>
      <c r="G97" s="363">
        <v>7540856</v>
      </c>
      <c r="H97" s="363">
        <v>37903026</v>
      </c>
      <c r="I97" s="349"/>
      <c r="J97" s="363">
        <v>19142606</v>
      </c>
      <c r="K97" s="363">
        <v>1902907</v>
      </c>
      <c r="L97" s="363">
        <v>1866802</v>
      </c>
      <c r="M97" s="363">
        <v>22912315</v>
      </c>
      <c r="N97" s="363">
        <v>8640795</v>
      </c>
      <c r="O97" s="363">
        <v>232427</v>
      </c>
      <c r="P97" s="363">
        <v>163632</v>
      </c>
      <c r="Q97" s="363">
        <v>523755</v>
      </c>
      <c r="R97" s="363">
        <v>41108</v>
      </c>
      <c r="S97" s="363">
        <v>1747616</v>
      </c>
      <c r="U97" s="363">
        <v>2305725</v>
      </c>
      <c r="V97" s="363">
        <v>403902</v>
      </c>
      <c r="W97" s="363">
        <v>9885</v>
      </c>
      <c r="X97" s="363">
        <v>-164092</v>
      </c>
      <c r="Y97" s="363">
        <v>-4535</v>
      </c>
      <c r="Z97" s="363">
        <v>8374</v>
      </c>
      <c r="AA97" s="363">
        <v>28188</v>
      </c>
      <c r="AB97" s="363">
        <v>-132065</v>
      </c>
      <c r="AD97" s="363">
        <v>11087957</v>
      </c>
      <c r="AG97" s="363">
        <v>-2733060</v>
      </c>
      <c r="AH97" s="349"/>
      <c r="AJ97" s="363">
        <v>5060919</v>
      </c>
      <c r="AL97" s="363">
        <v>18420037</v>
      </c>
      <c r="AN97" s="349"/>
      <c r="AO97" s="454">
        <v>5503664</v>
      </c>
      <c r="AP97" s="478">
        <v>19.96</v>
      </c>
      <c r="AQ97" s="213"/>
      <c r="AS97" s="509">
        <v>7208017</v>
      </c>
      <c r="AT97" s="363">
        <v>38429313</v>
      </c>
      <c r="AU97" s="480">
        <v>-31221279</v>
      </c>
      <c r="AV97" s="480">
        <v>20124065</v>
      </c>
      <c r="AW97" s="480">
        <v>1956930</v>
      </c>
      <c r="AX97" s="480">
        <v>1744593</v>
      </c>
      <c r="AY97" s="480">
        <v>23825588</v>
      </c>
      <c r="AZ97" s="483">
        <v>11005673</v>
      </c>
      <c r="BA97" s="212">
        <v>222749</v>
      </c>
      <c r="BB97" s="484">
        <v>164607</v>
      </c>
      <c r="BC97" s="212">
        <v>470708</v>
      </c>
      <c r="BD97" s="212">
        <v>65845</v>
      </c>
      <c r="BE97" s="480">
        <v>4072987</v>
      </c>
      <c r="BG97" s="483">
        <v>2397525</v>
      </c>
      <c r="BH97" s="480">
        <v>90574</v>
      </c>
      <c r="BI97" s="480">
        <v>9330</v>
      </c>
      <c r="BJ97" s="480">
        <v>1756706</v>
      </c>
      <c r="BK97" s="480">
        <v>-25237</v>
      </c>
      <c r="BL97" s="480">
        <v>-96451</v>
      </c>
      <c r="BM97" s="480">
        <v>-61014</v>
      </c>
      <c r="BN97" s="480">
        <v>1574004</v>
      </c>
      <c r="BP97" s="483">
        <v>12581318</v>
      </c>
      <c r="BS97" s="183"/>
      <c r="BV97" s="487">
        <v>6454537</v>
      </c>
      <c r="BX97" s="181">
        <v>19033385</v>
      </c>
      <c r="BZ97" s="349"/>
      <c r="CC97" s="488">
        <v>20.02</v>
      </c>
      <c r="CD97" s="378"/>
      <c r="CE97" s="378"/>
      <c r="CF97" s="194"/>
      <c r="CG97" s="349"/>
      <c r="CI97" s="181">
        <v>7374694</v>
      </c>
      <c r="CJ97" s="183">
        <v>20000</v>
      </c>
      <c r="CK97" s="421">
        <v>9955078.6853361018</v>
      </c>
      <c r="CL97" s="494">
        <v>10462300.440720018</v>
      </c>
      <c r="CM97" s="483">
        <v>3035541.2915000003</v>
      </c>
      <c r="CN97" s="483">
        <v>3099541.2914999956</v>
      </c>
      <c r="CO97" s="483">
        <v>3157541.2914999998</v>
      </c>
      <c r="CP97" s="433">
        <f t="shared" si="1"/>
        <v>-1314283.6853361018</v>
      </c>
      <c r="CQ97" s="212"/>
      <c r="CR97" s="212">
        <v>-449939</v>
      </c>
      <c r="CS97" s="212">
        <v>-4312042</v>
      </c>
      <c r="CT97" s="483">
        <v>185133</v>
      </c>
      <c r="CU97" s="483">
        <v>806207</v>
      </c>
      <c r="CV97" s="486">
        <v>28370</v>
      </c>
      <c r="CX97" s="200"/>
      <c r="CY97" s="475"/>
      <c r="CZ97" s="450"/>
      <c r="DA97" s="394"/>
      <c r="DB97" s="394"/>
      <c r="DC97" s="347"/>
      <c r="DD97" s="394"/>
      <c r="DE97" s="394"/>
      <c r="DF97" s="394"/>
      <c r="DG97" s="394"/>
      <c r="DH97" s="394"/>
    </row>
    <row r="98" spans="1:112" x14ac:dyDescent="0.25">
      <c r="A98" s="179">
        <v>273</v>
      </c>
      <c r="B98" s="181" t="s">
        <v>130</v>
      </c>
      <c r="C98" s="373">
        <v>3846</v>
      </c>
      <c r="D98" s="360">
        <v>20</v>
      </c>
      <c r="E98" s="213"/>
      <c r="G98" s="363">
        <v>5012</v>
      </c>
      <c r="H98" s="363">
        <v>32111</v>
      </c>
      <c r="I98" s="362"/>
      <c r="J98" s="363">
        <v>10485</v>
      </c>
      <c r="K98" s="363">
        <v>847</v>
      </c>
      <c r="L98" s="363">
        <v>3781</v>
      </c>
      <c r="M98" s="363">
        <v>15113</v>
      </c>
      <c r="N98" s="363">
        <v>14674</v>
      </c>
      <c r="O98" s="363">
        <v>1</v>
      </c>
      <c r="P98" s="363">
        <v>58</v>
      </c>
      <c r="Q98" s="363">
        <v>18</v>
      </c>
      <c r="R98" s="363">
        <v>6</v>
      </c>
      <c r="S98" s="363">
        <v>2643</v>
      </c>
      <c r="U98" s="363">
        <v>1551</v>
      </c>
      <c r="V98" s="363">
        <v>0</v>
      </c>
      <c r="W98" s="363">
        <v>0</v>
      </c>
      <c r="X98" s="363">
        <v>1092</v>
      </c>
      <c r="Y98" s="363">
        <v>14</v>
      </c>
      <c r="Z98" s="363">
        <v>0</v>
      </c>
      <c r="AA98" s="363">
        <v>0</v>
      </c>
      <c r="AB98" s="363">
        <v>1106</v>
      </c>
      <c r="AD98" s="363">
        <v>14533</v>
      </c>
      <c r="AG98" s="363">
        <v>-648</v>
      </c>
      <c r="AH98" s="349"/>
      <c r="AJ98" s="363">
        <v>4093</v>
      </c>
      <c r="AL98" s="363">
        <v>5191</v>
      </c>
      <c r="AN98" s="349"/>
      <c r="AO98" s="454">
        <v>3925</v>
      </c>
      <c r="AP98" s="478">
        <v>20</v>
      </c>
      <c r="AQ98" s="213"/>
      <c r="AS98" s="509">
        <v>4130</v>
      </c>
      <c r="AT98" s="349">
        <v>33179</v>
      </c>
      <c r="AU98" s="480">
        <v>-29049</v>
      </c>
      <c r="AV98" s="199">
        <v>10750</v>
      </c>
      <c r="AW98" s="199">
        <v>943</v>
      </c>
      <c r="AX98" s="199">
        <v>3421</v>
      </c>
      <c r="AY98" s="199">
        <v>15114</v>
      </c>
      <c r="AZ98" s="199">
        <v>16635</v>
      </c>
      <c r="BA98" s="181">
        <v>1</v>
      </c>
      <c r="BB98" s="511">
        <v>49</v>
      </c>
      <c r="BC98" s="181">
        <v>18</v>
      </c>
      <c r="BD98" s="181">
        <v>1</v>
      </c>
      <c r="BE98" s="199">
        <v>2669</v>
      </c>
      <c r="BG98" s="183">
        <v>1605</v>
      </c>
      <c r="BH98" s="199">
        <v>0</v>
      </c>
      <c r="BI98" s="199">
        <v>0</v>
      </c>
      <c r="BJ98" s="199">
        <v>1064</v>
      </c>
      <c r="BK98" s="199">
        <v>14</v>
      </c>
      <c r="BL98" s="199">
        <v>0</v>
      </c>
      <c r="BM98" s="199">
        <v>0</v>
      </c>
      <c r="BN98" s="199">
        <v>1078</v>
      </c>
      <c r="BP98" s="199">
        <v>15612</v>
      </c>
      <c r="BS98" s="211"/>
      <c r="BV98" s="514">
        <v>5400</v>
      </c>
      <c r="BX98" s="181">
        <v>4510</v>
      </c>
      <c r="BZ98" s="349"/>
      <c r="CB98" s="342"/>
      <c r="CC98" s="488">
        <v>20</v>
      </c>
      <c r="CD98" s="378"/>
      <c r="CE98" s="378"/>
      <c r="CF98" s="195"/>
      <c r="CG98" s="349"/>
      <c r="CI98" s="181">
        <v>10196</v>
      </c>
      <c r="CJ98" s="183">
        <v>0</v>
      </c>
      <c r="CK98" s="421">
        <v>15956.551547015872</v>
      </c>
      <c r="CL98" s="494">
        <v>16915.83637130756</v>
      </c>
      <c r="CM98" s="483">
        <v>5165.7336587303635</v>
      </c>
      <c r="CN98" s="483">
        <v>4963.4420366337527</v>
      </c>
      <c r="CO98" s="483">
        <v>4832.3335678767726</v>
      </c>
      <c r="CP98" s="433">
        <f t="shared" si="1"/>
        <v>-1282.5515470158716</v>
      </c>
      <c r="CQ98" s="212"/>
      <c r="CR98" s="212">
        <v>-30</v>
      </c>
      <c r="CS98" s="212">
        <v>-1075</v>
      </c>
      <c r="CT98" s="183">
        <v>50</v>
      </c>
      <c r="CU98" s="183">
        <v>70</v>
      </c>
      <c r="CV98" s="485">
        <v>-145</v>
      </c>
      <c r="CX98" s="422"/>
      <c r="CY98" s="475"/>
      <c r="CZ98" s="450"/>
      <c r="DA98" s="394"/>
      <c r="DB98" s="394"/>
      <c r="DC98" s="347"/>
      <c r="DD98" s="394"/>
      <c r="DE98" s="394"/>
      <c r="DF98" s="394"/>
      <c r="DG98" s="394"/>
      <c r="DH98" s="394"/>
    </row>
    <row r="99" spans="1:112" x14ac:dyDescent="0.25">
      <c r="A99" s="179">
        <v>275</v>
      </c>
      <c r="B99" s="181" t="s">
        <v>131</v>
      </c>
      <c r="C99" s="373">
        <v>2627</v>
      </c>
      <c r="D99" s="360">
        <v>22</v>
      </c>
      <c r="E99" s="213"/>
      <c r="G99" s="363">
        <v>3417</v>
      </c>
      <c r="H99" s="363">
        <v>25048</v>
      </c>
      <c r="I99" s="349"/>
      <c r="J99" s="363">
        <v>7138</v>
      </c>
      <c r="K99" s="363">
        <v>874</v>
      </c>
      <c r="L99" s="363">
        <v>812</v>
      </c>
      <c r="M99" s="363">
        <v>8824</v>
      </c>
      <c r="N99" s="363">
        <v>8525</v>
      </c>
      <c r="O99" s="363">
        <v>21</v>
      </c>
      <c r="P99" s="363">
        <v>211</v>
      </c>
      <c r="Q99" s="363">
        <v>211</v>
      </c>
      <c r="R99" s="363">
        <v>56</v>
      </c>
      <c r="S99" s="363">
        <v>-4317</v>
      </c>
      <c r="U99" s="363">
        <v>1232</v>
      </c>
      <c r="V99" s="363">
        <v>0</v>
      </c>
      <c r="W99" s="363">
        <v>0</v>
      </c>
      <c r="X99" s="363">
        <v>-5549</v>
      </c>
      <c r="Y99" s="363">
        <v>0</v>
      </c>
      <c r="Z99" s="363">
        <v>0</v>
      </c>
      <c r="AA99" s="363">
        <v>0</v>
      </c>
      <c r="AB99" s="363">
        <v>-5549</v>
      </c>
      <c r="AD99" s="363">
        <v>-2948</v>
      </c>
      <c r="AG99" s="363">
        <v>-115</v>
      </c>
      <c r="AH99" s="349"/>
      <c r="AJ99" s="363">
        <v>1340</v>
      </c>
      <c r="AL99" s="363">
        <v>21875</v>
      </c>
      <c r="AN99" s="349"/>
      <c r="AO99" s="454">
        <v>2593</v>
      </c>
      <c r="AP99" s="478">
        <v>22</v>
      </c>
      <c r="AQ99" s="213"/>
      <c r="AS99" s="509">
        <v>3970</v>
      </c>
      <c r="AT99" s="349">
        <v>20532</v>
      </c>
      <c r="AU99" s="480">
        <v>-16562</v>
      </c>
      <c r="AV99" s="199">
        <v>7034</v>
      </c>
      <c r="AW99" s="199">
        <v>940</v>
      </c>
      <c r="AX99" s="199">
        <v>730</v>
      </c>
      <c r="AY99" s="199">
        <v>8704</v>
      </c>
      <c r="AZ99" s="199">
        <v>10492</v>
      </c>
      <c r="BA99" s="181">
        <v>19</v>
      </c>
      <c r="BB99" s="511">
        <v>191</v>
      </c>
      <c r="BC99" s="181">
        <v>209</v>
      </c>
      <c r="BD99" s="181">
        <v>261</v>
      </c>
      <c r="BE99" s="199">
        <v>2410</v>
      </c>
      <c r="BG99" s="183">
        <v>1169</v>
      </c>
      <c r="BH99" s="199">
        <v>0</v>
      </c>
      <c r="BI99" s="183">
        <v>0</v>
      </c>
      <c r="BJ99" s="199">
        <v>1241</v>
      </c>
      <c r="BK99" s="199">
        <v>0</v>
      </c>
      <c r="BL99" s="183">
        <v>0</v>
      </c>
      <c r="BM99" s="183">
        <v>0</v>
      </c>
      <c r="BN99" s="199">
        <v>1241</v>
      </c>
      <c r="BP99" s="199">
        <v>-1707</v>
      </c>
      <c r="BS99" s="211"/>
      <c r="BV99" s="514">
        <v>1645</v>
      </c>
      <c r="BX99" s="181">
        <v>24949</v>
      </c>
      <c r="BZ99" s="349"/>
      <c r="CB99" s="340"/>
      <c r="CC99" s="488">
        <v>22</v>
      </c>
      <c r="CD99" s="378"/>
      <c r="CE99" s="378"/>
      <c r="CF99" s="195"/>
      <c r="CG99" s="349"/>
      <c r="CI99" s="181">
        <v>7998</v>
      </c>
      <c r="CJ99" s="183">
        <v>0</v>
      </c>
      <c r="CK99" s="421">
        <v>9946.0299272482644</v>
      </c>
      <c r="CL99" s="494">
        <v>10119.384679376044</v>
      </c>
      <c r="CM99" s="483">
        <v>3336.7692055337238</v>
      </c>
      <c r="CN99" s="483">
        <v>3400.1517878901814</v>
      </c>
      <c r="CO99" s="483">
        <v>3317.3060669426577</v>
      </c>
      <c r="CP99" s="433">
        <f t="shared" si="1"/>
        <v>-1421.0299272482644</v>
      </c>
      <c r="CQ99" s="212"/>
      <c r="CR99" s="212">
        <v>-3624</v>
      </c>
      <c r="CS99" s="212">
        <v>-214</v>
      </c>
      <c r="CT99" s="183">
        <v>3</v>
      </c>
      <c r="CU99" s="183">
        <v>58</v>
      </c>
      <c r="CV99" s="485">
        <v>63</v>
      </c>
      <c r="CX99" s="422"/>
      <c r="CY99" s="475"/>
      <c r="CZ99" s="450"/>
      <c r="DA99" s="394"/>
      <c r="DB99" s="394"/>
      <c r="DC99" s="347"/>
      <c r="DD99" s="394"/>
      <c r="DE99" s="394"/>
      <c r="DF99" s="394"/>
      <c r="DG99" s="394"/>
      <c r="DH99" s="394"/>
    </row>
    <row r="100" spans="1:112" x14ac:dyDescent="0.25">
      <c r="A100" s="179">
        <v>276</v>
      </c>
      <c r="B100" s="181" t="s">
        <v>132</v>
      </c>
      <c r="C100" s="373">
        <v>14821</v>
      </c>
      <c r="D100" s="360">
        <v>20.5</v>
      </c>
      <c r="E100" s="213"/>
      <c r="G100" s="363">
        <v>11231</v>
      </c>
      <c r="H100" s="363">
        <v>83014</v>
      </c>
      <c r="I100" s="349"/>
      <c r="J100" s="363">
        <v>47876</v>
      </c>
      <c r="K100" s="363">
        <v>1923</v>
      </c>
      <c r="L100" s="363">
        <v>2905</v>
      </c>
      <c r="M100" s="363">
        <v>52704</v>
      </c>
      <c r="N100" s="363">
        <v>24397</v>
      </c>
      <c r="O100" s="363">
        <v>13</v>
      </c>
      <c r="P100" s="363">
        <v>479</v>
      </c>
      <c r="Q100" s="363">
        <v>329</v>
      </c>
      <c r="R100" s="363">
        <v>7</v>
      </c>
      <c r="S100" s="363">
        <v>5174</v>
      </c>
      <c r="U100" s="363">
        <v>5134</v>
      </c>
      <c r="V100" s="363">
        <v>0</v>
      </c>
      <c r="W100" s="363">
        <v>0</v>
      </c>
      <c r="X100" s="363">
        <v>40</v>
      </c>
      <c r="Y100" s="363">
        <v>173</v>
      </c>
      <c r="Z100" s="363">
        <v>0</v>
      </c>
      <c r="AA100" s="363">
        <v>0</v>
      </c>
      <c r="AB100" s="363">
        <v>213</v>
      </c>
      <c r="AD100" s="363">
        <v>15880</v>
      </c>
      <c r="AG100" s="363">
        <v>-4813</v>
      </c>
      <c r="AH100" s="349"/>
      <c r="AJ100" s="363">
        <v>4604</v>
      </c>
      <c r="AL100" s="363">
        <v>39821</v>
      </c>
      <c r="AN100" s="349"/>
      <c r="AO100" s="454">
        <v>14857</v>
      </c>
      <c r="AP100" s="478">
        <v>20.5</v>
      </c>
      <c r="AQ100" s="213"/>
      <c r="AS100" s="509">
        <v>10610</v>
      </c>
      <c r="AT100" s="349">
        <v>83772</v>
      </c>
      <c r="AU100" s="480">
        <v>-73162</v>
      </c>
      <c r="AV100" s="199">
        <v>49067</v>
      </c>
      <c r="AW100" s="199">
        <v>2340</v>
      </c>
      <c r="AX100" s="199">
        <v>2612</v>
      </c>
      <c r="AY100" s="199">
        <v>54019</v>
      </c>
      <c r="AZ100" s="199">
        <v>29870</v>
      </c>
      <c r="BA100" s="181">
        <v>6</v>
      </c>
      <c r="BB100" s="511">
        <v>420</v>
      </c>
      <c r="BC100" s="181">
        <v>324</v>
      </c>
      <c r="BD100" s="181">
        <v>0</v>
      </c>
      <c r="BE100" s="199">
        <v>10637</v>
      </c>
      <c r="BG100" s="183">
        <v>4731</v>
      </c>
      <c r="BH100" s="183">
        <v>0</v>
      </c>
      <c r="BI100" s="199">
        <v>0</v>
      </c>
      <c r="BJ100" s="199">
        <v>5906</v>
      </c>
      <c r="BK100" s="183">
        <v>80</v>
      </c>
      <c r="BL100" s="199">
        <v>-4500</v>
      </c>
      <c r="BM100" s="183">
        <v>0</v>
      </c>
      <c r="BN100" s="199">
        <v>1486</v>
      </c>
      <c r="BP100" s="199">
        <v>17366</v>
      </c>
      <c r="BS100" s="211"/>
      <c r="BV100" s="514">
        <v>12415</v>
      </c>
      <c r="BX100" s="181">
        <v>43674</v>
      </c>
      <c r="BZ100" s="349"/>
      <c r="CB100" s="340"/>
      <c r="CC100" s="488">
        <v>20.5</v>
      </c>
      <c r="CD100" s="378"/>
      <c r="CE100" s="378"/>
      <c r="CF100" s="195"/>
      <c r="CG100" s="349"/>
      <c r="CI100" s="181">
        <v>21930</v>
      </c>
      <c r="CJ100" s="183">
        <v>0</v>
      </c>
      <c r="CK100" s="421">
        <v>25625.875508998652</v>
      </c>
      <c r="CL100" s="494">
        <v>27126.994827584636</v>
      </c>
      <c r="CM100" s="483">
        <v>14456.158144940367</v>
      </c>
      <c r="CN100" s="483">
        <v>14784.071070294354</v>
      </c>
      <c r="CO100" s="483">
        <v>14991.977876323526</v>
      </c>
      <c r="CP100" s="433">
        <f t="shared" si="1"/>
        <v>-1228.8755089986516</v>
      </c>
      <c r="CQ100" s="212"/>
      <c r="CR100" s="212">
        <v>863</v>
      </c>
      <c r="CS100" s="212">
        <v>-8773</v>
      </c>
      <c r="CT100" s="183">
        <v>0</v>
      </c>
      <c r="CU100" s="183">
        <v>512</v>
      </c>
      <c r="CV100" s="485">
        <v>0</v>
      </c>
      <c r="CX100" s="422"/>
      <c r="CY100" s="475"/>
      <c r="CZ100" s="450"/>
      <c r="DA100" s="394"/>
      <c r="DB100" s="394"/>
      <c r="DC100" s="347"/>
      <c r="DD100" s="394"/>
      <c r="DE100" s="394"/>
      <c r="DF100" s="394"/>
      <c r="DG100" s="394"/>
      <c r="DH100" s="394"/>
    </row>
    <row r="101" spans="1:112" x14ac:dyDescent="0.25">
      <c r="A101" s="179">
        <v>280</v>
      </c>
      <c r="B101" s="181" t="s">
        <v>133</v>
      </c>
      <c r="C101" s="373">
        <v>2077</v>
      </c>
      <c r="D101" s="360">
        <v>21.5</v>
      </c>
      <c r="E101" s="213"/>
      <c r="G101" s="363">
        <v>2328</v>
      </c>
      <c r="H101" s="363">
        <v>15633</v>
      </c>
      <c r="I101" s="349"/>
      <c r="J101" s="363">
        <v>5472</v>
      </c>
      <c r="K101" s="363">
        <v>717</v>
      </c>
      <c r="L101" s="363">
        <v>728</v>
      </c>
      <c r="M101" s="363">
        <v>6917</v>
      </c>
      <c r="N101" s="363">
        <v>6995</v>
      </c>
      <c r="O101" s="363">
        <v>0</v>
      </c>
      <c r="P101" s="363">
        <v>24</v>
      </c>
      <c r="Q101" s="363">
        <v>12</v>
      </c>
      <c r="R101" s="363">
        <v>0</v>
      </c>
      <c r="S101" s="363">
        <v>595</v>
      </c>
      <c r="U101" s="363">
        <v>1277</v>
      </c>
      <c r="V101" s="363">
        <v>0</v>
      </c>
      <c r="W101" s="363">
        <v>0</v>
      </c>
      <c r="X101" s="363">
        <v>-682</v>
      </c>
      <c r="Y101" s="363">
        <v>568</v>
      </c>
      <c r="Z101" s="363">
        <v>0</v>
      </c>
      <c r="AA101" s="363">
        <v>0</v>
      </c>
      <c r="AB101" s="363">
        <v>-114</v>
      </c>
      <c r="AD101" s="363">
        <v>5015</v>
      </c>
      <c r="AG101" s="363">
        <v>-647</v>
      </c>
      <c r="AH101" s="349"/>
      <c r="AJ101" s="363">
        <v>1223</v>
      </c>
      <c r="AL101" s="363">
        <v>2184</v>
      </c>
      <c r="AN101" s="349"/>
      <c r="AO101" s="454">
        <v>2068</v>
      </c>
      <c r="AP101" s="478">
        <v>21.5</v>
      </c>
      <c r="AQ101" s="213"/>
      <c r="AS101" s="509">
        <v>2228</v>
      </c>
      <c r="AT101" s="349">
        <v>15914</v>
      </c>
      <c r="AU101" s="480">
        <v>-13686</v>
      </c>
      <c r="AV101" s="199">
        <v>5300</v>
      </c>
      <c r="AW101" s="199">
        <v>648</v>
      </c>
      <c r="AX101" s="199">
        <v>658</v>
      </c>
      <c r="AY101" s="199">
        <v>6606</v>
      </c>
      <c r="AZ101" s="199">
        <v>7540</v>
      </c>
      <c r="BA101" s="181">
        <v>3</v>
      </c>
      <c r="BB101" s="511">
        <v>18</v>
      </c>
      <c r="BC101" s="181">
        <v>28</v>
      </c>
      <c r="BD101" s="181">
        <v>0</v>
      </c>
      <c r="BE101" s="199">
        <v>473</v>
      </c>
      <c r="BG101" s="183">
        <v>1300</v>
      </c>
      <c r="BH101" s="183">
        <v>0</v>
      </c>
      <c r="BI101" s="183">
        <v>0</v>
      </c>
      <c r="BJ101" s="199">
        <v>-827</v>
      </c>
      <c r="BK101" s="183">
        <v>576</v>
      </c>
      <c r="BL101" s="183">
        <v>0</v>
      </c>
      <c r="BM101" s="183">
        <v>0</v>
      </c>
      <c r="BN101" s="199">
        <v>-251</v>
      </c>
      <c r="BP101" s="199">
        <v>4764</v>
      </c>
      <c r="BS101" s="211"/>
      <c r="BV101" s="514">
        <v>962</v>
      </c>
      <c r="BX101" s="181">
        <v>3006</v>
      </c>
      <c r="BZ101" s="349"/>
      <c r="CB101" s="340"/>
      <c r="CC101" s="488">
        <v>21.5</v>
      </c>
      <c r="CD101" s="378"/>
      <c r="CE101" s="378"/>
      <c r="CF101" s="195"/>
      <c r="CG101" s="349"/>
      <c r="CI101" s="181">
        <v>5701</v>
      </c>
      <c r="CJ101" s="183">
        <v>0</v>
      </c>
      <c r="CK101" s="421">
        <v>7292.5003545944192</v>
      </c>
      <c r="CL101" s="494">
        <v>7362.9944830245213</v>
      </c>
      <c r="CM101" s="483">
        <v>2259.2299336830101</v>
      </c>
      <c r="CN101" s="483">
        <v>2320.6511413200633</v>
      </c>
      <c r="CO101" s="483">
        <v>2285.9423382416599</v>
      </c>
      <c r="CP101" s="433">
        <f t="shared" si="1"/>
        <v>-297.50035459441915</v>
      </c>
      <c r="CQ101" s="212"/>
      <c r="CR101" s="212">
        <v>0</v>
      </c>
      <c r="CS101" s="212">
        <v>-1668</v>
      </c>
      <c r="CT101" s="183">
        <v>0</v>
      </c>
      <c r="CU101" s="183">
        <v>0</v>
      </c>
      <c r="CV101" s="485">
        <v>0</v>
      </c>
      <c r="CX101" s="422"/>
      <c r="CY101" s="475"/>
      <c r="CZ101" s="450"/>
      <c r="DA101" s="394"/>
      <c r="DB101" s="394"/>
      <c r="DC101" s="347"/>
      <c r="DD101" s="394"/>
      <c r="DE101" s="394"/>
      <c r="DF101" s="394"/>
      <c r="DG101" s="394"/>
      <c r="DH101" s="394"/>
    </row>
    <row r="102" spans="1:112" x14ac:dyDescent="0.25">
      <c r="A102" s="179">
        <v>284</v>
      </c>
      <c r="B102" s="181" t="s">
        <v>134</v>
      </c>
      <c r="C102" s="373">
        <v>2308</v>
      </c>
      <c r="D102" s="360">
        <v>19.5</v>
      </c>
      <c r="E102" s="213"/>
      <c r="G102" s="363">
        <v>3512</v>
      </c>
      <c r="H102" s="363">
        <v>17561</v>
      </c>
      <c r="I102" s="349"/>
      <c r="J102" s="363">
        <v>5858</v>
      </c>
      <c r="K102" s="363">
        <v>580</v>
      </c>
      <c r="L102" s="363">
        <v>528</v>
      </c>
      <c r="M102" s="363">
        <v>6966</v>
      </c>
      <c r="N102" s="363">
        <v>7581</v>
      </c>
      <c r="O102" s="363">
        <v>0</v>
      </c>
      <c r="P102" s="363">
        <v>0</v>
      </c>
      <c r="Q102" s="363">
        <v>21</v>
      </c>
      <c r="R102" s="363">
        <v>2</v>
      </c>
      <c r="S102" s="363">
        <v>517</v>
      </c>
      <c r="U102" s="363">
        <v>817</v>
      </c>
      <c r="V102" s="363">
        <v>0</v>
      </c>
      <c r="W102" s="363">
        <v>0</v>
      </c>
      <c r="X102" s="363">
        <v>-300</v>
      </c>
      <c r="Y102" s="363">
        <v>40</v>
      </c>
      <c r="Z102" s="363">
        <v>0</v>
      </c>
      <c r="AA102" s="363">
        <v>0</v>
      </c>
      <c r="AB102" s="363">
        <v>-260</v>
      </c>
      <c r="AD102" s="363">
        <v>3260</v>
      </c>
      <c r="AG102" s="363">
        <v>-903</v>
      </c>
      <c r="AH102" s="349"/>
      <c r="AJ102" s="363">
        <v>779</v>
      </c>
      <c r="AL102" s="363">
        <v>0</v>
      </c>
      <c r="AN102" s="349"/>
      <c r="AO102" s="454">
        <v>2292</v>
      </c>
      <c r="AP102" s="478">
        <v>20</v>
      </c>
      <c r="AQ102" s="213"/>
      <c r="AS102" s="509">
        <v>3373</v>
      </c>
      <c r="AT102" s="349">
        <v>17404</v>
      </c>
      <c r="AU102" s="480">
        <v>-14031</v>
      </c>
      <c r="AV102" s="199">
        <v>6366</v>
      </c>
      <c r="AW102" s="199">
        <v>704</v>
      </c>
      <c r="AX102" s="199">
        <v>465</v>
      </c>
      <c r="AY102" s="199">
        <v>7535</v>
      </c>
      <c r="AZ102" s="199">
        <v>8485</v>
      </c>
      <c r="BA102" s="181">
        <v>0</v>
      </c>
      <c r="BB102" s="511">
        <v>3</v>
      </c>
      <c r="BC102" s="181">
        <v>32</v>
      </c>
      <c r="BD102" s="181">
        <v>5</v>
      </c>
      <c r="BE102" s="199">
        <v>2013</v>
      </c>
      <c r="BG102" s="183">
        <v>789</v>
      </c>
      <c r="BH102" s="183">
        <v>0</v>
      </c>
      <c r="BI102" s="183">
        <v>0</v>
      </c>
      <c r="BJ102" s="199">
        <v>1224</v>
      </c>
      <c r="BK102" s="183">
        <v>-467</v>
      </c>
      <c r="BL102" s="183">
        <v>0</v>
      </c>
      <c r="BM102" s="183">
        <v>0</v>
      </c>
      <c r="BN102" s="199">
        <v>757</v>
      </c>
      <c r="BP102" s="199">
        <v>4018</v>
      </c>
      <c r="BS102" s="211"/>
      <c r="BV102" s="514">
        <v>2405</v>
      </c>
      <c r="BX102" s="181">
        <v>500</v>
      </c>
      <c r="BZ102" s="349"/>
      <c r="CB102" s="340"/>
      <c r="CC102" s="488">
        <v>20</v>
      </c>
      <c r="CD102" s="378"/>
      <c r="CE102" s="378"/>
      <c r="CF102" s="195"/>
      <c r="CG102" s="349"/>
      <c r="CI102" s="181">
        <v>6324</v>
      </c>
      <c r="CJ102" s="183">
        <v>0</v>
      </c>
      <c r="CK102" s="421">
        <v>8377.1441471878024</v>
      </c>
      <c r="CL102" s="494">
        <v>8840.3782902204694</v>
      </c>
      <c r="CM102" s="483">
        <v>3771.0346613739111</v>
      </c>
      <c r="CN102" s="483">
        <v>3727.7174019870886</v>
      </c>
      <c r="CO102" s="483">
        <v>3588.7455922077252</v>
      </c>
      <c r="CP102" s="433">
        <f t="shared" si="1"/>
        <v>-796.14414718780245</v>
      </c>
      <c r="CQ102" s="212"/>
      <c r="CR102" s="212">
        <v>5</v>
      </c>
      <c r="CS102" s="212">
        <v>-1788</v>
      </c>
      <c r="CT102" s="183">
        <v>298</v>
      </c>
      <c r="CU102" s="183">
        <v>58</v>
      </c>
      <c r="CV102" s="485">
        <v>0</v>
      </c>
      <c r="CX102" s="422"/>
      <c r="CY102" s="475"/>
      <c r="CZ102" s="450"/>
      <c r="DA102" s="394"/>
      <c r="DB102" s="394"/>
      <c r="DC102" s="347"/>
      <c r="DD102" s="394"/>
      <c r="DE102" s="394"/>
      <c r="DF102" s="394"/>
      <c r="DG102" s="394"/>
      <c r="DH102" s="394"/>
    </row>
    <row r="103" spans="1:112" x14ac:dyDescent="0.25">
      <c r="A103" s="179">
        <v>285</v>
      </c>
      <c r="B103" s="181" t="s">
        <v>135</v>
      </c>
      <c r="C103" s="373">
        <v>52126</v>
      </c>
      <c r="D103" s="360">
        <v>21.5</v>
      </c>
      <c r="E103" s="213"/>
      <c r="G103" s="363">
        <v>83422</v>
      </c>
      <c r="H103" s="363">
        <v>393669</v>
      </c>
      <c r="I103" s="349"/>
      <c r="J103" s="363">
        <v>193221</v>
      </c>
      <c r="K103" s="363">
        <v>9538</v>
      </c>
      <c r="L103" s="363">
        <v>15301</v>
      </c>
      <c r="M103" s="363">
        <v>218060</v>
      </c>
      <c r="N103" s="363">
        <v>112480</v>
      </c>
      <c r="O103" s="363">
        <v>1732</v>
      </c>
      <c r="P103" s="363">
        <v>984</v>
      </c>
      <c r="Q103" s="363">
        <v>3279</v>
      </c>
      <c r="R103" s="363">
        <v>3388</v>
      </c>
      <c r="S103" s="363">
        <v>20932</v>
      </c>
      <c r="U103" s="363">
        <v>21647</v>
      </c>
      <c r="V103" s="363">
        <v>586</v>
      </c>
      <c r="W103" s="363">
        <v>0</v>
      </c>
      <c r="X103" s="363">
        <v>-129</v>
      </c>
      <c r="Y103" s="363">
        <v>271</v>
      </c>
      <c r="Z103" s="363">
        <v>0</v>
      </c>
      <c r="AA103" s="363">
        <v>0</v>
      </c>
      <c r="AB103" s="363">
        <v>142</v>
      </c>
      <c r="AD103" s="363">
        <v>9128</v>
      </c>
      <c r="AG103" s="363">
        <v>-34412</v>
      </c>
      <c r="AH103" s="349"/>
      <c r="AJ103" s="363">
        <v>43530</v>
      </c>
      <c r="AL103" s="363">
        <v>297061</v>
      </c>
      <c r="AN103" s="349"/>
      <c r="AO103" s="454">
        <v>51668</v>
      </c>
      <c r="AP103" s="478">
        <v>21.5</v>
      </c>
      <c r="AQ103" s="213"/>
      <c r="AS103" s="509">
        <v>74842</v>
      </c>
      <c r="AT103" s="349">
        <v>398533</v>
      </c>
      <c r="AU103" s="480">
        <v>-323691</v>
      </c>
      <c r="AV103" s="199">
        <v>200183</v>
      </c>
      <c r="AW103" s="199">
        <v>10994</v>
      </c>
      <c r="AX103" s="199">
        <v>14085</v>
      </c>
      <c r="AY103" s="199">
        <v>225262</v>
      </c>
      <c r="AZ103" s="199">
        <v>135894</v>
      </c>
      <c r="BA103" s="181">
        <v>1829</v>
      </c>
      <c r="BB103" s="511">
        <v>3836</v>
      </c>
      <c r="BC103" s="181">
        <v>3179</v>
      </c>
      <c r="BD103" s="181">
        <v>15</v>
      </c>
      <c r="BE103" s="199">
        <v>38622</v>
      </c>
      <c r="BG103" s="183">
        <v>36649</v>
      </c>
      <c r="BH103" s="199">
        <v>0</v>
      </c>
      <c r="BI103" s="199">
        <v>0</v>
      </c>
      <c r="BJ103" s="199">
        <v>1973</v>
      </c>
      <c r="BK103" s="199">
        <v>271</v>
      </c>
      <c r="BL103" s="183">
        <v>0</v>
      </c>
      <c r="BM103" s="183">
        <v>0</v>
      </c>
      <c r="BN103" s="199">
        <v>2244</v>
      </c>
      <c r="BP103" s="199">
        <v>11370</v>
      </c>
      <c r="BS103" s="211"/>
      <c r="BV103" s="514">
        <v>68047</v>
      </c>
      <c r="BX103" s="181">
        <v>294264</v>
      </c>
      <c r="BZ103" s="349"/>
      <c r="CB103" s="340"/>
      <c r="CC103" s="488">
        <v>21.5</v>
      </c>
      <c r="CD103" s="378"/>
      <c r="CE103" s="378"/>
      <c r="CF103" s="195"/>
      <c r="CG103" s="349"/>
      <c r="CI103" s="181">
        <v>75460</v>
      </c>
      <c r="CJ103" s="183">
        <v>0</v>
      </c>
      <c r="CK103" s="421">
        <v>123849.27437170678</v>
      </c>
      <c r="CL103" s="494">
        <v>128930.19840889295</v>
      </c>
      <c r="CM103" s="483">
        <v>14364.655168612915</v>
      </c>
      <c r="CN103" s="483">
        <v>13275.848556367991</v>
      </c>
      <c r="CO103" s="483">
        <v>12242.822717797997</v>
      </c>
      <c r="CP103" s="433">
        <f t="shared" si="1"/>
        <v>-11369.274371706779</v>
      </c>
      <c r="CQ103" s="212"/>
      <c r="CR103" s="212">
        <v>8996</v>
      </c>
      <c r="CS103" s="212">
        <v>-18666</v>
      </c>
      <c r="CT103" s="183">
        <v>815</v>
      </c>
      <c r="CU103" s="183">
        <v>1663</v>
      </c>
      <c r="CV103" s="485">
        <v>-11</v>
      </c>
      <c r="CX103" s="422"/>
      <c r="CY103" s="475"/>
      <c r="CZ103" s="450"/>
      <c r="DA103" s="394"/>
      <c r="DB103" s="394"/>
      <c r="DC103" s="347"/>
      <c r="DD103" s="394"/>
      <c r="DE103" s="394"/>
      <c r="DF103" s="394"/>
      <c r="DG103" s="394"/>
      <c r="DH103" s="394"/>
    </row>
    <row r="104" spans="1:112" x14ac:dyDescent="0.25">
      <c r="A104" s="179">
        <v>286</v>
      </c>
      <c r="B104" s="181" t="s">
        <v>136</v>
      </c>
      <c r="C104" s="373">
        <v>82113</v>
      </c>
      <c r="D104" s="360">
        <v>20.75</v>
      </c>
      <c r="E104" s="213"/>
      <c r="G104" s="363">
        <v>55631</v>
      </c>
      <c r="H104" s="363">
        <v>578792</v>
      </c>
      <c r="I104" s="349"/>
      <c r="J104" s="363">
        <v>286569</v>
      </c>
      <c r="K104" s="363">
        <v>23064</v>
      </c>
      <c r="L104" s="363">
        <v>28447</v>
      </c>
      <c r="M104" s="363">
        <v>338080</v>
      </c>
      <c r="N104" s="363">
        <v>172333</v>
      </c>
      <c r="O104" s="363">
        <v>1950</v>
      </c>
      <c r="P104" s="363">
        <v>2810</v>
      </c>
      <c r="Q104" s="363">
        <v>8639</v>
      </c>
      <c r="R104" s="363">
        <v>217</v>
      </c>
      <c r="S104" s="363">
        <v>-5186</v>
      </c>
      <c r="U104" s="363">
        <v>22575</v>
      </c>
      <c r="V104" s="363">
        <v>0</v>
      </c>
      <c r="W104" s="363">
        <v>0</v>
      </c>
      <c r="X104" s="363">
        <v>-27761</v>
      </c>
      <c r="Y104" s="363">
        <v>102</v>
      </c>
      <c r="Z104" s="363">
        <v>0</v>
      </c>
      <c r="AA104" s="363">
        <v>0</v>
      </c>
      <c r="AB104" s="363">
        <v>-27659</v>
      </c>
      <c r="AD104" s="363">
        <v>-13653</v>
      </c>
      <c r="AG104" s="363">
        <v>-41163</v>
      </c>
      <c r="AH104" s="349"/>
      <c r="AJ104" s="363">
        <v>27875</v>
      </c>
      <c r="AL104" s="363">
        <v>312755</v>
      </c>
      <c r="AN104" s="349"/>
      <c r="AO104" s="454">
        <v>81187</v>
      </c>
      <c r="AP104" s="478">
        <v>21.25</v>
      </c>
      <c r="AQ104" s="213"/>
      <c r="AS104" s="509">
        <v>49790</v>
      </c>
      <c r="AT104" s="349">
        <v>569660</v>
      </c>
      <c r="AU104" s="480">
        <v>-519870</v>
      </c>
      <c r="AV104" s="199">
        <v>302676</v>
      </c>
      <c r="AW104" s="199">
        <v>25999</v>
      </c>
      <c r="AX104" s="199">
        <v>26068</v>
      </c>
      <c r="AY104" s="199">
        <v>354743</v>
      </c>
      <c r="AZ104" s="199">
        <v>213734</v>
      </c>
      <c r="BA104" s="181">
        <v>1973</v>
      </c>
      <c r="BB104" s="511">
        <v>2761</v>
      </c>
      <c r="BC104" s="181">
        <v>11239</v>
      </c>
      <c r="BD104" s="181">
        <v>506</v>
      </c>
      <c r="BE104" s="199">
        <v>58552</v>
      </c>
      <c r="BG104" s="183">
        <v>27503</v>
      </c>
      <c r="BH104" s="183">
        <v>0</v>
      </c>
      <c r="BI104" s="183">
        <v>0</v>
      </c>
      <c r="BJ104" s="199">
        <v>31049</v>
      </c>
      <c r="BK104" s="199">
        <v>102</v>
      </c>
      <c r="BL104" s="199">
        <v>0</v>
      </c>
      <c r="BM104" s="183">
        <v>0</v>
      </c>
      <c r="BN104" s="199">
        <v>31151</v>
      </c>
      <c r="BP104" s="199">
        <v>17955</v>
      </c>
      <c r="BS104" s="211"/>
      <c r="BV104" s="514">
        <v>28453</v>
      </c>
      <c r="BX104" s="181">
        <v>266903</v>
      </c>
      <c r="BZ104" s="349"/>
      <c r="CB104" s="340"/>
      <c r="CC104" s="488">
        <v>21.25</v>
      </c>
      <c r="CD104" s="378"/>
      <c r="CE104" s="378"/>
      <c r="CF104" s="195"/>
      <c r="CG104" s="349"/>
      <c r="CI104" s="181">
        <v>146689</v>
      </c>
      <c r="CJ104" s="183">
        <v>0</v>
      </c>
      <c r="CK104" s="421">
        <v>192682.11754111672</v>
      </c>
      <c r="CL104" s="494">
        <v>196434.44570183434</v>
      </c>
      <c r="CM104" s="483">
        <v>34343.941174722939</v>
      </c>
      <c r="CN104" s="483">
        <v>32975.896173825931</v>
      </c>
      <c r="CO104" s="483">
        <v>31586.882717947767</v>
      </c>
      <c r="CP104" s="433">
        <f t="shared" si="1"/>
        <v>-20349.117541116721</v>
      </c>
      <c r="CQ104" s="212"/>
      <c r="CR104" s="212">
        <v>13720</v>
      </c>
      <c r="CS104" s="212">
        <v>-30259</v>
      </c>
      <c r="CT104" s="183">
        <v>2308</v>
      </c>
      <c r="CU104" s="183">
        <v>1195</v>
      </c>
      <c r="CV104" s="485">
        <v>198</v>
      </c>
      <c r="CX104" s="422"/>
      <c r="CY104" s="475"/>
      <c r="CZ104" s="450"/>
      <c r="DA104" s="394"/>
      <c r="DB104" s="394"/>
      <c r="DC104" s="347"/>
      <c r="DD104" s="394"/>
      <c r="DE104" s="394"/>
      <c r="DF104" s="394"/>
      <c r="DG104" s="394"/>
      <c r="DH104" s="394"/>
    </row>
    <row r="105" spans="1:112" x14ac:dyDescent="0.25">
      <c r="A105" s="179">
        <v>287</v>
      </c>
      <c r="B105" s="349" t="s">
        <v>321</v>
      </c>
      <c r="C105" s="373">
        <v>6486</v>
      </c>
      <c r="D105" s="360">
        <v>21.5</v>
      </c>
      <c r="E105" s="213"/>
      <c r="G105" s="363">
        <v>8695</v>
      </c>
      <c r="H105" s="363">
        <v>52847</v>
      </c>
      <c r="I105" s="349"/>
      <c r="J105" s="363">
        <v>20363</v>
      </c>
      <c r="K105" s="363">
        <v>1408</v>
      </c>
      <c r="L105" s="363">
        <v>2877</v>
      </c>
      <c r="M105" s="363">
        <v>24648</v>
      </c>
      <c r="N105" s="363">
        <v>20714</v>
      </c>
      <c r="O105" s="363">
        <v>0</v>
      </c>
      <c r="P105" s="363">
        <v>369</v>
      </c>
      <c r="Q105" s="363">
        <v>86</v>
      </c>
      <c r="R105" s="363">
        <v>22</v>
      </c>
      <c r="S105" s="363">
        <v>905</v>
      </c>
      <c r="U105" s="363">
        <v>3095</v>
      </c>
      <c r="V105" s="363">
        <v>0</v>
      </c>
      <c r="W105" s="363">
        <v>0</v>
      </c>
      <c r="X105" s="363">
        <v>-2190</v>
      </c>
      <c r="Y105" s="363">
        <v>0</v>
      </c>
      <c r="Z105" s="363">
        <v>0</v>
      </c>
      <c r="AA105" s="363">
        <v>0</v>
      </c>
      <c r="AB105" s="363">
        <v>-2190</v>
      </c>
      <c r="AD105" s="363">
        <v>7556</v>
      </c>
      <c r="AG105" s="363">
        <v>-5677</v>
      </c>
      <c r="AH105" s="349"/>
      <c r="AJ105" s="363">
        <v>3666</v>
      </c>
      <c r="AL105" s="363">
        <v>26737</v>
      </c>
      <c r="AN105" s="349"/>
      <c r="AO105" s="454">
        <v>6404</v>
      </c>
      <c r="AP105" s="478">
        <v>21.5</v>
      </c>
      <c r="AQ105" s="213"/>
      <c r="AS105" s="509">
        <v>8820</v>
      </c>
      <c r="AT105" s="349">
        <v>52847</v>
      </c>
      <c r="AU105" s="480">
        <v>-44027</v>
      </c>
      <c r="AV105" s="199">
        <v>20980</v>
      </c>
      <c r="AW105" s="199">
        <v>1486</v>
      </c>
      <c r="AX105" s="199">
        <v>2653</v>
      </c>
      <c r="AY105" s="199">
        <v>25119</v>
      </c>
      <c r="AZ105" s="199">
        <v>23002</v>
      </c>
      <c r="BA105" s="181">
        <v>0</v>
      </c>
      <c r="BB105" s="511">
        <v>321</v>
      </c>
      <c r="BC105" s="181">
        <v>73</v>
      </c>
      <c r="BD105" s="181">
        <v>167</v>
      </c>
      <c r="BE105" s="199">
        <v>3679</v>
      </c>
      <c r="BG105" s="183">
        <v>3594</v>
      </c>
      <c r="BH105" s="183">
        <v>0</v>
      </c>
      <c r="BI105" s="183">
        <v>0</v>
      </c>
      <c r="BJ105" s="199">
        <v>85</v>
      </c>
      <c r="BK105" s="199">
        <v>0</v>
      </c>
      <c r="BL105" s="183">
        <v>0</v>
      </c>
      <c r="BM105" s="199">
        <v>0</v>
      </c>
      <c r="BN105" s="199">
        <v>85</v>
      </c>
      <c r="BP105" s="199">
        <v>7639</v>
      </c>
      <c r="BS105" s="211"/>
      <c r="BV105" s="514">
        <v>7091</v>
      </c>
      <c r="BX105" s="181">
        <v>29799</v>
      </c>
      <c r="BZ105" s="349"/>
      <c r="CB105" s="340"/>
      <c r="CC105" s="488">
        <v>21.5</v>
      </c>
      <c r="CD105" s="378"/>
      <c r="CE105" s="378"/>
      <c r="CF105" s="195"/>
      <c r="CG105" s="349"/>
      <c r="CI105" s="181">
        <v>16902</v>
      </c>
      <c r="CJ105" s="183">
        <v>0</v>
      </c>
      <c r="CK105" s="421">
        <v>21417.86273831904</v>
      </c>
      <c r="CL105" s="494">
        <v>22857.021112396091</v>
      </c>
      <c r="CM105" s="483">
        <v>8012.4843410407248</v>
      </c>
      <c r="CN105" s="483">
        <v>8129.1355423572822</v>
      </c>
      <c r="CO105" s="483">
        <v>8202.076308669868</v>
      </c>
      <c r="CP105" s="433">
        <f t="shared" si="1"/>
        <v>-703.86273831903964</v>
      </c>
      <c r="CQ105" s="212"/>
      <c r="CR105" s="212">
        <v>-905</v>
      </c>
      <c r="CS105" s="212">
        <v>-4977</v>
      </c>
      <c r="CT105" s="183">
        <v>60</v>
      </c>
      <c r="CU105" s="183">
        <v>1664</v>
      </c>
      <c r="CV105" s="485">
        <v>-10</v>
      </c>
      <c r="CX105" s="422"/>
      <c r="CY105" s="475"/>
      <c r="CZ105" s="450"/>
      <c r="DA105" s="394"/>
      <c r="DB105" s="394"/>
      <c r="DC105" s="347"/>
      <c r="DD105" s="394"/>
      <c r="DE105" s="394"/>
      <c r="DF105" s="394"/>
      <c r="DG105" s="394"/>
      <c r="DH105" s="394"/>
    </row>
    <row r="106" spans="1:112" x14ac:dyDescent="0.25">
      <c r="A106" s="179">
        <v>288</v>
      </c>
      <c r="B106" s="181" t="s">
        <v>137</v>
      </c>
      <c r="C106" s="373">
        <v>6428</v>
      </c>
      <c r="D106" s="360">
        <v>22</v>
      </c>
      <c r="E106" s="213"/>
      <c r="G106" s="363">
        <v>3248</v>
      </c>
      <c r="H106" s="363">
        <v>41519</v>
      </c>
      <c r="I106" s="349"/>
      <c r="J106" s="363">
        <v>20132</v>
      </c>
      <c r="K106" s="363">
        <v>2193</v>
      </c>
      <c r="L106" s="363">
        <v>1804</v>
      </c>
      <c r="M106" s="363">
        <v>24129</v>
      </c>
      <c r="N106" s="363">
        <v>15950</v>
      </c>
      <c r="O106" s="363">
        <v>0</v>
      </c>
      <c r="P106" s="363">
        <v>282</v>
      </c>
      <c r="Q106" s="363">
        <v>230</v>
      </c>
      <c r="R106" s="363">
        <v>1</v>
      </c>
      <c r="S106" s="363">
        <v>1755</v>
      </c>
      <c r="U106" s="363">
        <v>1192</v>
      </c>
      <c r="V106" s="363">
        <v>0</v>
      </c>
      <c r="W106" s="363">
        <v>0</v>
      </c>
      <c r="X106" s="363">
        <v>563</v>
      </c>
      <c r="Y106" s="363">
        <v>0</v>
      </c>
      <c r="Z106" s="363">
        <v>0</v>
      </c>
      <c r="AA106" s="363">
        <v>0</v>
      </c>
      <c r="AB106" s="363">
        <v>563</v>
      </c>
      <c r="AD106" s="363">
        <v>6536</v>
      </c>
      <c r="AG106" s="363">
        <v>-3649</v>
      </c>
      <c r="AH106" s="349"/>
      <c r="AJ106" s="363">
        <v>671</v>
      </c>
      <c r="AL106" s="363">
        <v>24196</v>
      </c>
      <c r="AN106" s="349"/>
      <c r="AO106" s="454">
        <v>6416</v>
      </c>
      <c r="AP106" s="478">
        <v>22</v>
      </c>
      <c r="AQ106" s="213"/>
      <c r="AS106" s="509">
        <v>2620</v>
      </c>
      <c r="AT106" s="349">
        <v>41294</v>
      </c>
      <c r="AU106" s="480">
        <v>-38674</v>
      </c>
      <c r="AV106" s="199">
        <v>20637</v>
      </c>
      <c r="AW106" s="199">
        <v>2259</v>
      </c>
      <c r="AX106" s="199">
        <v>1694</v>
      </c>
      <c r="AY106" s="199">
        <v>24590</v>
      </c>
      <c r="AZ106" s="199">
        <v>18836</v>
      </c>
      <c r="BA106" s="181">
        <v>0</v>
      </c>
      <c r="BB106" s="511">
        <v>241</v>
      </c>
      <c r="BC106" s="181">
        <v>151</v>
      </c>
      <c r="BD106" s="181">
        <v>1</v>
      </c>
      <c r="BE106" s="199">
        <v>4661</v>
      </c>
      <c r="BG106" s="183">
        <v>1511</v>
      </c>
      <c r="BH106" s="183">
        <v>0</v>
      </c>
      <c r="BI106" s="183">
        <v>0</v>
      </c>
      <c r="BJ106" s="199">
        <v>3150</v>
      </c>
      <c r="BK106" s="183">
        <v>0</v>
      </c>
      <c r="BL106" s="183">
        <v>0</v>
      </c>
      <c r="BM106" s="183">
        <v>0</v>
      </c>
      <c r="BN106" s="199">
        <v>3150</v>
      </c>
      <c r="BP106" s="199">
        <v>9693</v>
      </c>
      <c r="BS106" s="211"/>
      <c r="BV106" s="514">
        <v>1609</v>
      </c>
      <c r="BX106" s="181">
        <v>24755</v>
      </c>
      <c r="BZ106" s="349"/>
      <c r="CB106" s="340"/>
      <c r="CC106" s="488">
        <v>22</v>
      </c>
      <c r="CD106" s="378"/>
      <c r="CE106" s="378"/>
      <c r="CF106" s="195"/>
      <c r="CG106" s="349"/>
      <c r="CI106" s="181">
        <v>15567</v>
      </c>
      <c r="CJ106" s="183">
        <v>0</v>
      </c>
      <c r="CK106" s="421">
        <v>18154.504776663212</v>
      </c>
      <c r="CL106" s="494">
        <v>19149.380847215474</v>
      </c>
      <c r="CM106" s="483">
        <v>6021.700905792889</v>
      </c>
      <c r="CN106" s="483">
        <v>6395.4762478570501</v>
      </c>
      <c r="CO106" s="483">
        <v>6473.2514131432827</v>
      </c>
      <c r="CP106" s="433">
        <f t="shared" si="1"/>
        <v>-2204.5047766632124</v>
      </c>
      <c r="CQ106" s="212"/>
      <c r="CR106" s="212">
        <v>-113</v>
      </c>
      <c r="CS106" s="212">
        <v>-4532</v>
      </c>
      <c r="CT106" s="183">
        <v>151</v>
      </c>
      <c r="CU106" s="183">
        <v>150</v>
      </c>
      <c r="CV106" s="485">
        <v>0</v>
      </c>
      <c r="CX106" s="422"/>
      <c r="CY106" s="475"/>
      <c r="CZ106" s="450"/>
      <c r="DA106" s="394"/>
      <c r="DB106" s="394"/>
      <c r="DC106" s="347"/>
      <c r="DD106" s="394"/>
      <c r="DE106" s="394"/>
      <c r="DF106" s="394"/>
      <c r="DG106" s="394"/>
      <c r="DH106" s="394"/>
    </row>
    <row r="107" spans="1:112" x14ac:dyDescent="0.25">
      <c r="A107" s="179">
        <v>290</v>
      </c>
      <c r="B107" s="181" t="s">
        <v>138</v>
      </c>
      <c r="C107" s="373">
        <v>8190</v>
      </c>
      <c r="D107" s="360">
        <v>21.5</v>
      </c>
      <c r="E107" s="213"/>
      <c r="G107" s="363">
        <v>5809</v>
      </c>
      <c r="H107" s="363">
        <v>66242</v>
      </c>
      <c r="I107" s="349"/>
      <c r="J107" s="363">
        <v>23205</v>
      </c>
      <c r="K107" s="363">
        <v>2912</v>
      </c>
      <c r="L107" s="363">
        <v>2141</v>
      </c>
      <c r="M107" s="363">
        <v>28258</v>
      </c>
      <c r="N107" s="363">
        <v>32092</v>
      </c>
      <c r="O107" s="363">
        <v>61</v>
      </c>
      <c r="P107" s="363">
        <v>181</v>
      </c>
      <c r="Q107" s="363">
        <v>2330</v>
      </c>
      <c r="R107" s="363">
        <v>813</v>
      </c>
      <c r="S107" s="363">
        <v>1314</v>
      </c>
      <c r="U107" s="363">
        <v>2939</v>
      </c>
      <c r="V107" s="363">
        <v>0</v>
      </c>
      <c r="W107" s="363">
        <v>0</v>
      </c>
      <c r="X107" s="363">
        <v>-1625</v>
      </c>
      <c r="Y107" s="363">
        <v>43</v>
      </c>
      <c r="Z107" s="363">
        <v>0</v>
      </c>
      <c r="AA107" s="363">
        <v>0</v>
      </c>
      <c r="AB107" s="363">
        <v>-1582</v>
      </c>
      <c r="AD107" s="363">
        <v>-1764</v>
      </c>
      <c r="AG107" s="363">
        <v>-1837</v>
      </c>
      <c r="AH107" s="349"/>
      <c r="AJ107" s="363">
        <v>22375</v>
      </c>
      <c r="AL107" s="363">
        <v>40260</v>
      </c>
      <c r="AN107" s="349"/>
      <c r="AO107" s="454">
        <v>8042</v>
      </c>
      <c r="AP107" s="478">
        <v>22</v>
      </c>
      <c r="AQ107" s="213"/>
      <c r="AS107" s="509">
        <v>6332</v>
      </c>
      <c r="AT107" s="349">
        <v>68525</v>
      </c>
      <c r="AU107" s="480">
        <v>-62193</v>
      </c>
      <c r="AV107" s="199">
        <v>23643</v>
      </c>
      <c r="AW107" s="199">
        <v>3356</v>
      </c>
      <c r="AX107" s="199">
        <v>1988</v>
      </c>
      <c r="AY107" s="199">
        <v>28987</v>
      </c>
      <c r="AZ107" s="199">
        <v>35025</v>
      </c>
      <c r="BA107" s="181">
        <v>61</v>
      </c>
      <c r="BB107" s="511">
        <v>180</v>
      </c>
      <c r="BC107" s="181">
        <v>1572</v>
      </c>
      <c r="BD107" s="181">
        <v>929</v>
      </c>
      <c r="BE107" s="199">
        <v>2343</v>
      </c>
      <c r="BG107" s="183">
        <v>3245</v>
      </c>
      <c r="BH107" s="183">
        <v>0</v>
      </c>
      <c r="BI107" s="183">
        <v>0</v>
      </c>
      <c r="BJ107" s="199">
        <v>-902</v>
      </c>
      <c r="BK107" s="199">
        <v>43</v>
      </c>
      <c r="BL107" s="199">
        <v>0</v>
      </c>
      <c r="BM107" s="183">
        <v>0</v>
      </c>
      <c r="BN107" s="199">
        <v>-859</v>
      </c>
      <c r="BP107" s="199">
        <v>-2625</v>
      </c>
      <c r="BS107" s="211"/>
      <c r="BV107" s="514">
        <v>24353</v>
      </c>
      <c r="BX107" s="181">
        <v>39621</v>
      </c>
      <c r="BZ107" s="349"/>
      <c r="CB107" s="340"/>
      <c r="CC107" s="488">
        <v>22</v>
      </c>
      <c r="CD107" s="378"/>
      <c r="CE107" s="378"/>
      <c r="CF107" s="195"/>
      <c r="CG107" s="349"/>
      <c r="CI107" s="181">
        <v>26933</v>
      </c>
      <c r="CJ107" s="183">
        <v>0</v>
      </c>
      <c r="CK107" s="421">
        <v>34500.263455501379</v>
      </c>
      <c r="CL107" s="494">
        <v>35797.090216318793</v>
      </c>
      <c r="CM107" s="483">
        <v>6798.0902290427466</v>
      </c>
      <c r="CN107" s="483">
        <v>6804.3411258127417</v>
      </c>
      <c r="CO107" s="483">
        <v>6189.0878380259901</v>
      </c>
      <c r="CP107" s="433">
        <f t="shared" si="1"/>
        <v>-2408.2634555013792</v>
      </c>
      <c r="CQ107" s="212"/>
      <c r="CR107" s="212">
        <v>403</v>
      </c>
      <c r="CS107" s="212">
        <v>-1354</v>
      </c>
      <c r="CT107" s="183">
        <v>39</v>
      </c>
      <c r="CU107" s="183">
        <v>144</v>
      </c>
      <c r="CV107" s="485">
        <v>0</v>
      </c>
      <c r="CX107" s="422"/>
      <c r="CY107" s="475"/>
      <c r="CZ107" s="450"/>
      <c r="DA107" s="394"/>
      <c r="DB107" s="394"/>
      <c r="DC107" s="347"/>
      <c r="DD107" s="394"/>
      <c r="DE107" s="394"/>
      <c r="DF107" s="394"/>
      <c r="DG107" s="394"/>
      <c r="DH107" s="394"/>
    </row>
    <row r="108" spans="1:112" x14ac:dyDescent="0.25">
      <c r="A108" s="179">
        <v>291</v>
      </c>
      <c r="B108" s="181" t="s">
        <v>139</v>
      </c>
      <c r="C108" s="373">
        <v>2206</v>
      </c>
      <c r="D108" s="360">
        <v>20.75</v>
      </c>
      <c r="E108" s="213"/>
      <c r="G108" s="363">
        <v>2933</v>
      </c>
      <c r="H108" s="363">
        <v>18634</v>
      </c>
      <c r="I108" s="349"/>
      <c r="J108" s="363">
        <v>5657</v>
      </c>
      <c r="K108" s="363">
        <v>1110</v>
      </c>
      <c r="L108" s="363">
        <v>1372</v>
      </c>
      <c r="M108" s="363">
        <v>8139</v>
      </c>
      <c r="N108" s="363">
        <v>8241</v>
      </c>
      <c r="O108" s="363">
        <v>74</v>
      </c>
      <c r="P108" s="363">
        <v>2</v>
      </c>
      <c r="Q108" s="363">
        <v>209</v>
      </c>
      <c r="R108" s="363">
        <v>20</v>
      </c>
      <c r="S108" s="363">
        <v>940</v>
      </c>
      <c r="U108" s="363">
        <v>1203</v>
      </c>
      <c r="V108" s="363">
        <v>0</v>
      </c>
      <c r="W108" s="363">
        <v>0</v>
      </c>
      <c r="X108" s="363">
        <v>-263</v>
      </c>
      <c r="Y108" s="363">
        <v>0</v>
      </c>
      <c r="Z108" s="363">
        <v>0</v>
      </c>
      <c r="AA108" s="363">
        <v>0</v>
      </c>
      <c r="AB108" s="363">
        <v>-263</v>
      </c>
      <c r="AD108" s="363">
        <v>5947</v>
      </c>
      <c r="AG108" s="363">
        <v>-1493</v>
      </c>
      <c r="AH108" s="349"/>
      <c r="AJ108" s="363">
        <v>3568</v>
      </c>
      <c r="AL108" s="363">
        <v>2418</v>
      </c>
      <c r="AN108" s="349"/>
      <c r="AO108" s="454">
        <v>2161</v>
      </c>
      <c r="AP108" s="478">
        <v>21.75</v>
      </c>
      <c r="AQ108" s="213"/>
      <c r="AS108" s="509">
        <v>2705</v>
      </c>
      <c r="AT108" s="349">
        <v>18661</v>
      </c>
      <c r="AU108" s="480">
        <v>-15956</v>
      </c>
      <c r="AV108" s="199">
        <v>6141</v>
      </c>
      <c r="AW108" s="199">
        <v>1227</v>
      </c>
      <c r="AX108" s="199">
        <v>1389</v>
      </c>
      <c r="AY108" s="199">
        <v>8757</v>
      </c>
      <c r="AZ108" s="199">
        <v>9233</v>
      </c>
      <c r="BA108" s="181">
        <v>62</v>
      </c>
      <c r="BB108" s="511">
        <v>4</v>
      </c>
      <c r="BC108" s="181">
        <v>44</v>
      </c>
      <c r="BD108" s="181">
        <v>42</v>
      </c>
      <c r="BE108" s="199">
        <v>2094</v>
      </c>
      <c r="BG108" s="183">
        <v>1665</v>
      </c>
      <c r="BH108" s="199">
        <v>0</v>
      </c>
      <c r="BI108" s="183">
        <v>0</v>
      </c>
      <c r="BJ108" s="199">
        <v>429</v>
      </c>
      <c r="BK108" s="199">
        <v>0</v>
      </c>
      <c r="BL108" s="183">
        <v>0</v>
      </c>
      <c r="BM108" s="183">
        <v>0</v>
      </c>
      <c r="BN108" s="199">
        <v>429</v>
      </c>
      <c r="BP108" s="199">
        <v>6376</v>
      </c>
      <c r="BS108" s="211"/>
      <c r="BV108" s="514">
        <v>4795</v>
      </c>
      <c r="BX108" s="181">
        <v>3871</v>
      </c>
      <c r="BZ108" s="349"/>
      <c r="CB108" s="340"/>
      <c r="CC108" s="488">
        <v>21.75</v>
      </c>
      <c r="CD108" s="378"/>
      <c r="CE108" s="378"/>
      <c r="CF108" s="195"/>
      <c r="CG108" s="349"/>
      <c r="CI108" s="181">
        <v>7978</v>
      </c>
      <c r="CJ108" s="183">
        <v>0</v>
      </c>
      <c r="CK108" s="421">
        <v>8946.7412224945219</v>
      </c>
      <c r="CL108" s="494">
        <v>9367.2677035117558</v>
      </c>
      <c r="CM108" s="483">
        <v>2143.6507252552465</v>
      </c>
      <c r="CN108" s="483">
        <v>2190.9997458504808</v>
      </c>
      <c r="CO108" s="483">
        <v>2225.2576803547977</v>
      </c>
      <c r="CP108" s="433">
        <f t="shared" si="1"/>
        <v>-705.74122249452194</v>
      </c>
      <c r="CQ108" s="212"/>
      <c r="CR108" s="212">
        <v>-121</v>
      </c>
      <c r="CS108" s="212">
        <v>-1536</v>
      </c>
      <c r="CT108" s="183">
        <v>12</v>
      </c>
      <c r="CU108" s="183">
        <v>207</v>
      </c>
      <c r="CV108" s="485">
        <v>-223</v>
      </c>
      <c r="CX108" s="422"/>
      <c r="CY108" s="475"/>
      <c r="CZ108" s="450"/>
      <c r="DA108" s="394"/>
      <c r="DB108" s="394"/>
      <c r="DC108" s="347"/>
      <c r="DD108" s="394"/>
      <c r="DE108" s="394"/>
      <c r="DF108" s="394"/>
      <c r="DG108" s="394"/>
      <c r="DH108" s="394"/>
    </row>
    <row r="109" spans="1:112" x14ac:dyDescent="0.25">
      <c r="A109" s="352">
        <v>297</v>
      </c>
      <c r="B109" s="349" t="s">
        <v>140</v>
      </c>
      <c r="C109" s="373">
        <v>119282</v>
      </c>
      <c r="D109" s="479">
        <v>20.5</v>
      </c>
      <c r="E109" s="429"/>
      <c r="F109" s="429"/>
      <c r="G109" s="363">
        <v>210951</v>
      </c>
      <c r="H109" s="363">
        <v>870959</v>
      </c>
      <c r="I109" s="349"/>
      <c r="J109" s="363">
        <v>399893</v>
      </c>
      <c r="K109" s="363">
        <v>24028</v>
      </c>
      <c r="L109" s="363">
        <v>40079</v>
      </c>
      <c r="M109" s="363">
        <v>464000</v>
      </c>
      <c r="N109" s="363">
        <v>203289</v>
      </c>
      <c r="O109" s="363">
        <v>7449</v>
      </c>
      <c r="P109" s="363">
        <v>3215</v>
      </c>
      <c r="Q109" s="363">
        <v>5031</v>
      </c>
      <c r="R109" s="363">
        <v>60</v>
      </c>
      <c r="S109" s="363">
        <v>16486</v>
      </c>
      <c r="T109" s="349"/>
      <c r="U109" s="363">
        <v>54646</v>
      </c>
      <c r="V109" s="363">
        <v>92867</v>
      </c>
      <c r="W109" s="363">
        <v>0</v>
      </c>
      <c r="X109" s="363">
        <v>54707</v>
      </c>
      <c r="Y109" s="363">
        <v>211</v>
      </c>
      <c r="Z109" s="363">
        <v>0</v>
      </c>
      <c r="AA109" s="363">
        <v>0</v>
      </c>
      <c r="AB109" s="363">
        <v>54918</v>
      </c>
      <c r="AC109" s="349"/>
      <c r="AD109" s="363">
        <v>157061</v>
      </c>
      <c r="AE109" s="349"/>
      <c r="AF109" s="349"/>
      <c r="AG109" s="363">
        <v>63144</v>
      </c>
      <c r="AH109" s="349"/>
      <c r="AI109" s="349"/>
      <c r="AJ109" s="363">
        <v>35238</v>
      </c>
      <c r="AK109" s="349"/>
      <c r="AL109" s="363">
        <v>396294</v>
      </c>
      <c r="AM109" s="349"/>
      <c r="AN109" s="349"/>
      <c r="AO109" s="462">
        <v>120210</v>
      </c>
      <c r="AP109" s="478">
        <v>20.75</v>
      </c>
      <c r="AQ109" s="429"/>
      <c r="AR109" s="429"/>
      <c r="AS109" s="509">
        <v>182647</v>
      </c>
      <c r="AT109" s="349">
        <v>872198</v>
      </c>
      <c r="AU109" s="363">
        <v>-689551</v>
      </c>
      <c r="AV109" s="349">
        <v>421596</v>
      </c>
      <c r="AW109" s="349">
        <v>27485</v>
      </c>
      <c r="AX109" s="349">
        <v>37106</v>
      </c>
      <c r="AY109" s="349">
        <v>486187</v>
      </c>
      <c r="AZ109" s="349">
        <v>248504</v>
      </c>
      <c r="BA109" s="349">
        <v>11056</v>
      </c>
      <c r="BB109" s="349">
        <v>3922</v>
      </c>
      <c r="BC109" s="349">
        <v>5009</v>
      </c>
      <c r="BD109" s="349">
        <v>61</v>
      </c>
      <c r="BE109" s="349">
        <v>57222</v>
      </c>
      <c r="BF109" s="349"/>
      <c r="BG109" s="349">
        <v>47831</v>
      </c>
      <c r="BH109" s="349">
        <v>9213</v>
      </c>
      <c r="BI109" s="349">
        <v>0</v>
      </c>
      <c r="BJ109" s="349">
        <v>18604</v>
      </c>
      <c r="BK109" s="349">
        <v>171</v>
      </c>
      <c r="BL109" s="349">
        <v>0</v>
      </c>
      <c r="BM109" s="349">
        <v>402</v>
      </c>
      <c r="BN109" s="349">
        <v>19177</v>
      </c>
      <c r="BO109" s="349"/>
      <c r="BP109" s="349">
        <v>176238</v>
      </c>
      <c r="BQ109" s="349"/>
      <c r="BR109" s="349"/>
      <c r="BS109" s="349"/>
      <c r="BT109" s="349"/>
      <c r="BU109" s="349"/>
      <c r="BV109" s="349">
        <v>99647</v>
      </c>
      <c r="BW109" s="349"/>
      <c r="BX109" s="349">
        <v>459505</v>
      </c>
      <c r="BY109" s="349"/>
      <c r="BZ109" s="349"/>
      <c r="CA109" s="349"/>
      <c r="CB109" s="449"/>
      <c r="CC109" s="489">
        <v>20.75</v>
      </c>
      <c r="CD109" s="378"/>
      <c r="CE109" s="451"/>
      <c r="CF109" s="349"/>
      <c r="CG109" s="349"/>
      <c r="CH109" s="349"/>
      <c r="CI109" s="349">
        <v>128128</v>
      </c>
      <c r="CJ109" s="349">
        <v>0</v>
      </c>
      <c r="CK109" s="491">
        <v>231056.38633625105</v>
      </c>
      <c r="CL109" s="493">
        <v>241561.67284645748</v>
      </c>
      <c r="CM109" s="363">
        <v>35060.975981814081</v>
      </c>
      <c r="CN109" s="475">
        <v>34743.098606225161</v>
      </c>
      <c r="CO109" s="475">
        <v>35176.575702754577</v>
      </c>
      <c r="CP109" s="433">
        <f t="shared" si="1"/>
        <v>-27767.386336251046</v>
      </c>
      <c r="CQ109" s="349"/>
      <c r="CR109" s="363">
        <v>-12767</v>
      </c>
      <c r="CS109" s="363">
        <v>-81676</v>
      </c>
      <c r="CT109" s="349">
        <v>2923</v>
      </c>
      <c r="CU109" s="349">
        <v>18320</v>
      </c>
      <c r="CV109" s="485">
        <v>-4111</v>
      </c>
      <c r="CW109" s="357"/>
      <c r="CX109" s="347"/>
      <c r="CY109" s="475"/>
      <c r="CZ109" s="394"/>
      <c r="DA109" s="394"/>
      <c r="DB109" s="394"/>
      <c r="DC109" s="347"/>
      <c r="DD109" s="394"/>
      <c r="DE109" s="394"/>
      <c r="DF109" s="394"/>
      <c r="DG109" s="394"/>
      <c r="DH109" s="394"/>
    </row>
    <row r="110" spans="1:112" ht="12.5" x14ac:dyDescent="0.25">
      <c r="A110" s="179">
        <v>300</v>
      </c>
      <c r="B110" s="181" t="s">
        <v>141</v>
      </c>
      <c r="C110" s="373">
        <v>3551</v>
      </c>
      <c r="D110" s="360">
        <v>21</v>
      </c>
      <c r="E110" s="213"/>
      <c r="G110" s="363">
        <v>2990</v>
      </c>
      <c r="H110" s="363">
        <v>26551</v>
      </c>
      <c r="I110" s="349"/>
      <c r="J110" s="363">
        <v>9561</v>
      </c>
      <c r="K110" s="363">
        <v>722</v>
      </c>
      <c r="L110" s="363">
        <v>830</v>
      </c>
      <c r="M110" s="363">
        <v>11113</v>
      </c>
      <c r="N110" s="363">
        <v>13381</v>
      </c>
      <c r="O110" s="363">
        <v>26</v>
      </c>
      <c r="P110" s="363">
        <v>56</v>
      </c>
      <c r="Q110" s="363">
        <v>31</v>
      </c>
      <c r="R110" s="363">
        <v>0</v>
      </c>
      <c r="S110" s="363">
        <v>934</v>
      </c>
      <c r="U110" s="363">
        <v>1268</v>
      </c>
      <c r="V110" s="363">
        <v>0</v>
      </c>
      <c r="W110" s="363">
        <v>0</v>
      </c>
      <c r="X110" s="363">
        <v>-334</v>
      </c>
      <c r="Y110" s="363">
        <v>0</v>
      </c>
      <c r="Z110" s="363">
        <v>0</v>
      </c>
      <c r="AA110" s="363">
        <v>0</v>
      </c>
      <c r="AB110" s="363">
        <v>-334</v>
      </c>
      <c r="AD110" s="363">
        <v>2256</v>
      </c>
      <c r="AG110" s="363">
        <v>-2696</v>
      </c>
      <c r="AH110" s="349"/>
      <c r="AJ110" s="363">
        <v>1293</v>
      </c>
      <c r="AL110" s="363">
        <v>8096</v>
      </c>
      <c r="AN110" s="349"/>
      <c r="AO110" s="454">
        <v>3534</v>
      </c>
      <c r="AP110" s="478">
        <v>21</v>
      </c>
      <c r="AQ110" s="213"/>
      <c r="AS110" s="509">
        <v>2992</v>
      </c>
      <c r="AT110" s="349">
        <v>26796</v>
      </c>
      <c r="AU110" s="480">
        <v>-23804</v>
      </c>
      <c r="AV110" s="199">
        <v>9895</v>
      </c>
      <c r="AW110" s="199">
        <v>826</v>
      </c>
      <c r="AX110" s="199">
        <v>825</v>
      </c>
      <c r="AY110" s="199">
        <v>11546</v>
      </c>
      <c r="AZ110" s="199">
        <v>14818</v>
      </c>
      <c r="BA110" s="181">
        <v>16</v>
      </c>
      <c r="BB110" s="512">
        <v>41</v>
      </c>
      <c r="BC110" s="181">
        <v>30</v>
      </c>
      <c r="BD110" s="181">
        <v>1</v>
      </c>
      <c r="BE110" s="199">
        <v>2564</v>
      </c>
      <c r="BG110" s="183">
        <v>1229</v>
      </c>
      <c r="BH110" s="199">
        <v>0</v>
      </c>
      <c r="BI110" s="199">
        <v>0</v>
      </c>
      <c r="BJ110" s="199">
        <v>1335</v>
      </c>
      <c r="BK110" s="199">
        <v>0</v>
      </c>
      <c r="BL110" s="199">
        <v>0</v>
      </c>
      <c r="BM110" s="183">
        <v>0</v>
      </c>
      <c r="BN110" s="199">
        <v>1335</v>
      </c>
      <c r="BP110" s="199">
        <v>3591</v>
      </c>
      <c r="BS110" s="211"/>
      <c r="BV110" s="514">
        <v>1513</v>
      </c>
      <c r="BX110" s="181">
        <v>8998</v>
      </c>
      <c r="BZ110" s="349"/>
      <c r="CB110" s="340"/>
      <c r="CC110" s="488">
        <v>21</v>
      </c>
      <c r="CD110" s="378"/>
      <c r="CE110" s="378"/>
      <c r="CF110" s="195"/>
      <c r="CG110" s="349"/>
      <c r="CI110" s="181">
        <v>10844</v>
      </c>
      <c r="CJ110" s="183">
        <v>0</v>
      </c>
      <c r="CK110" s="421">
        <v>14397.465894574125</v>
      </c>
      <c r="CL110" s="494">
        <v>15258.006666055628</v>
      </c>
      <c r="CM110" s="483">
        <v>6366.0372440324199</v>
      </c>
      <c r="CN110" s="483">
        <v>6012.2288963961346</v>
      </c>
      <c r="CO110" s="483">
        <v>5704.5494689544539</v>
      </c>
      <c r="CP110" s="433">
        <f t="shared" si="1"/>
        <v>-1016.4658945741248</v>
      </c>
      <c r="CQ110" s="212"/>
      <c r="CR110" s="212">
        <v>-31</v>
      </c>
      <c r="CS110" s="212">
        <v>-3422</v>
      </c>
      <c r="CT110" s="183">
        <v>55</v>
      </c>
      <c r="CU110" s="183">
        <v>31</v>
      </c>
      <c r="CV110" s="485">
        <v>28</v>
      </c>
      <c r="CX110" s="422"/>
      <c r="CY110" s="475"/>
      <c r="CZ110" s="450"/>
      <c r="DA110" s="394"/>
      <c r="DB110" s="394"/>
      <c r="DC110" s="347"/>
      <c r="DD110" s="394"/>
      <c r="DE110" s="394"/>
      <c r="DF110" s="394"/>
      <c r="DG110" s="394"/>
      <c r="DH110" s="394"/>
    </row>
    <row r="111" spans="1:112" x14ac:dyDescent="0.25">
      <c r="A111" s="179">
        <v>301</v>
      </c>
      <c r="B111" s="181" t="s">
        <v>142</v>
      </c>
      <c r="C111" s="373">
        <v>20678</v>
      </c>
      <c r="D111" s="360">
        <v>21</v>
      </c>
      <c r="E111" s="213"/>
      <c r="G111" s="363">
        <v>20161</v>
      </c>
      <c r="H111" s="363">
        <v>152925</v>
      </c>
      <c r="I111" s="349"/>
      <c r="J111" s="363">
        <v>56851</v>
      </c>
      <c r="K111" s="363">
        <v>3524</v>
      </c>
      <c r="L111" s="363">
        <v>4535</v>
      </c>
      <c r="M111" s="363">
        <v>64910</v>
      </c>
      <c r="N111" s="363">
        <v>60761</v>
      </c>
      <c r="O111" s="363">
        <v>717</v>
      </c>
      <c r="P111" s="363">
        <v>582</v>
      </c>
      <c r="Q111" s="363">
        <v>10686</v>
      </c>
      <c r="R111" s="363">
        <v>96</v>
      </c>
      <c r="S111" s="363">
        <v>3632</v>
      </c>
      <c r="U111" s="363">
        <v>14932</v>
      </c>
      <c r="V111" s="363">
        <v>0</v>
      </c>
      <c r="W111" s="363">
        <v>0</v>
      </c>
      <c r="X111" s="363">
        <v>-11300</v>
      </c>
      <c r="Y111" s="363">
        <v>305</v>
      </c>
      <c r="Z111" s="363">
        <v>0</v>
      </c>
      <c r="AA111" s="363">
        <v>0</v>
      </c>
      <c r="AB111" s="363">
        <v>-10995</v>
      </c>
      <c r="AD111" s="363">
        <v>11520</v>
      </c>
      <c r="AG111" s="363">
        <v>-3224</v>
      </c>
      <c r="AH111" s="349"/>
      <c r="AJ111" s="363">
        <v>36168</v>
      </c>
      <c r="AL111" s="363">
        <v>81568</v>
      </c>
      <c r="AN111" s="349"/>
      <c r="AO111" s="454">
        <v>20456</v>
      </c>
      <c r="AP111" s="478">
        <v>21</v>
      </c>
      <c r="AQ111" s="213"/>
      <c r="AS111" s="509">
        <v>18182</v>
      </c>
      <c r="AT111" s="349">
        <v>156433</v>
      </c>
      <c r="AU111" s="480">
        <v>-138251</v>
      </c>
      <c r="AV111" s="199">
        <v>59870</v>
      </c>
      <c r="AW111" s="199">
        <v>3868</v>
      </c>
      <c r="AX111" s="199">
        <v>4151</v>
      </c>
      <c r="AY111" s="199">
        <v>67889</v>
      </c>
      <c r="AZ111" s="199">
        <v>69433</v>
      </c>
      <c r="BA111" s="181">
        <v>707</v>
      </c>
      <c r="BB111" s="511">
        <v>430</v>
      </c>
      <c r="BC111" s="181">
        <v>11964</v>
      </c>
      <c r="BD111" s="181">
        <v>41</v>
      </c>
      <c r="BE111" s="199">
        <v>11271</v>
      </c>
      <c r="BG111" s="183">
        <v>7261</v>
      </c>
      <c r="BH111" s="183">
        <v>0</v>
      </c>
      <c r="BI111" s="183">
        <v>0</v>
      </c>
      <c r="BJ111" s="199">
        <v>4010</v>
      </c>
      <c r="BK111" s="183">
        <v>292</v>
      </c>
      <c r="BL111" s="183">
        <v>0</v>
      </c>
      <c r="BM111" s="183">
        <v>0</v>
      </c>
      <c r="BN111" s="199">
        <v>4302</v>
      </c>
      <c r="BP111" s="199">
        <v>12809</v>
      </c>
      <c r="BS111" s="211"/>
      <c r="BV111" s="514">
        <v>40690</v>
      </c>
      <c r="BX111" s="181">
        <v>76737</v>
      </c>
      <c r="BZ111" s="349"/>
      <c r="CB111" s="340"/>
      <c r="CC111" s="488">
        <v>21</v>
      </c>
      <c r="CD111" s="378"/>
      <c r="CE111" s="378"/>
      <c r="CF111" s="195"/>
      <c r="CG111" s="349"/>
      <c r="CI111" s="181">
        <v>31058</v>
      </c>
      <c r="CJ111" s="183">
        <v>0</v>
      </c>
      <c r="CK111" s="421">
        <v>67604.524901290526</v>
      </c>
      <c r="CL111" s="494">
        <v>71244.861055330723</v>
      </c>
      <c r="CM111" s="483">
        <v>14431.101724671962</v>
      </c>
      <c r="CN111" s="483">
        <v>14187.423790489413</v>
      </c>
      <c r="CO111" s="483">
        <v>13753.961875640523</v>
      </c>
      <c r="CP111" s="433">
        <f t="shared" si="1"/>
        <v>-6843.524901290526</v>
      </c>
      <c r="CQ111" s="212"/>
      <c r="CR111" s="212">
        <v>146</v>
      </c>
      <c r="CS111" s="212">
        <v>-4763</v>
      </c>
      <c r="CT111" s="183">
        <v>130</v>
      </c>
      <c r="CU111" s="183">
        <v>551</v>
      </c>
      <c r="CV111" s="485">
        <v>-52</v>
      </c>
      <c r="CX111" s="422"/>
      <c r="CY111" s="475"/>
      <c r="CZ111" s="450"/>
      <c r="DA111" s="394"/>
      <c r="DB111" s="394"/>
      <c r="DC111" s="347"/>
      <c r="DD111" s="394"/>
      <c r="DE111" s="394"/>
      <c r="DF111" s="394"/>
      <c r="DG111" s="394"/>
      <c r="DH111" s="394"/>
    </row>
    <row r="112" spans="1:112" x14ac:dyDescent="0.25">
      <c r="A112" s="179">
        <v>304</v>
      </c>
      <c r="B112" s="181" t="s">
        <v>143</v>
      </c>
      <c r="C112" s="373">
        <v>949</v>
      </c>
      <c r="D112" s="360">
        <v>18.5</v>
      </c>
      <c r="E112" s="213"/>
      <c r="G112" s="363">
        <v>1396</v>
      </c>
      <c r="H112" s="363">
        <v>7691</v>
      </c>
      <c r="I112" s="349"/>
      <c r="J112" s="363">
        <v>2913</v>
      </c>
      <c r="K112" s="363">
        <v>232</v>
      </c>
      <c r="L112" s="363">
        <v>1441</v>
      </c>
      <c r="M112" s="363">
        <v>4586</v>
      </c>
      <c r="N112" s="363">
        <v>2132</v>
      </c>
      <c r="O112" s="363">
        <v>0</v>
      </c>
      <c r="P112" s="363">
        <v>20</v>
      </c>
      <c r="Q112" s="363">
        <v>0</v>
      </c>
      <c r="R112" s="363">
        <v>0</v>
      </c>
      <c r="S112" s="363">
        <v>403</v>
      </c>
      <c r="U112" s="363">
        <v>392</v>
      </c>
      <c r="V112" s="363">
        <v>0</v>
      </c>
      <c r="W112" s="363">
        <v>0</v>
      </c>
      <c r="X112" s="363">
        <v>11</v>
      </c>
      <c r="Y112" s="363">
        <v>28</v>
      </c>
      <c r="Z112" s="363">
        <v>0</v>
      </c>
      <c r="AA112" s="363">
        <v>0</v>
      </c>
      <c r="AB112" s="363">
        <v>39</v>
      </c>
      <c r="AD112" s="363">
        <v>3672</v>
      </c>
      <c r="AG112" s="363">
        <v>-947</v>
      </c>
      <c r="AH112" s="349"/>
      <c r="AJ112" s="363">
        <v>1340</v>
      </c>
      <c r="AL112" s="363">
        <v>2084</v>
      </c>
      <c r="AN112" s="349"/>
      <c r="AO112" s="454">
        <v>962</v>
      </c>
      <c r="AP112" s="478">
        <v>18.25</v>
      </c>
      <c r="AQ112" s="213"/>
      <c r="AS112" s="509">
        <v>1530</v>
      </c>
      <c r="AT112" s="349">
        <v>7646</v>
      </c>
      <c r="AU112" s="480">
        <v>-6116</v>
      </c>
      <c r="AV112" s="199">
        <v>3114</v>
      </c>
      <c r="AW112" s="199">
        <v>258</v>
      </c>
      <c r="AX112" s="199">
        <v>1281</v>
      </c>
      <c r="AY112" s="199">
        <v>4653</v>
      </c>
      <c r="AZ112" s="199">
        <v>2423</v>
      </c>
      <c r="BA112" s="181">
        <v>0</v>
      </c>
      <c r="BB112" s="511">
        <v>20</v>
      </c>
      <c r="BC112" s="181">
        <v>2</v>
      </c>
      <c r="BD112" s="181">
        <v>0</v>
      </c>
      <c r="BE112" s="199">
        <v>942</v>
      </c>
      <c r="BG112" s="183">
        <v>412</v>
      </c>
      <c r="BH112" s="199">
        <v>0</v>
      </c>
      <c r="BI112" s="183">
        <v>0</v>
      </c>
      <c r="BJ112" s="199">
        <v>530</v>
      </c>
      <c r="BK112" s="183">
        <v>-472</v>
      </c>
      <c r="BL112" s="183">
        <v>0</v>
      </c>
      <c r="BM112" s="183">
        <v>0</v>
      </c>
      <c r="BN112" s="199">
        <v>58</v>
      </c>
      <c r="BP112" s="199">
        <v>3730</v>
      </c>
      <c r="BS112" s="211"/>
      <c r="BV112" s="514">
        <v>1169</v>
      </c>
      <c r="BX112" s="181">
        <v>2505</v>
      </c>
      <c r="BZ112" s="349"/>
      <c r="CB112" s="340"/>
      <c r="CC112" s="488">
        <v>18.25</v>
      </c>
      <c r="CD112" s="378"/>
      <c r="CE112" s="378"/>
      <c r="CF112" s="195"/>
      <c r="CG112" s="349"/>
      <c r="CI112" s="181">
        <v>2254</v>
      </c>
      <c r="CJ112" s="183">
        <v>0</v>
      </c>
      <c r="CK112" s="421">
        <v>2304.3399417137284</v>
      </c>
      <c r="CL112" s="494">
        <v>2378.008533907419</v>
      </c>
      <c r="CM112" s="483">
        <v>-342.32713803579566</v>
      </c>
      <c r="CN112" s="483">
        <v>-310.5939387468058</v>
      </c>
      <c r="CO112" s="483">
        <v>-287.77966069936997</v>
      </c>
      <c r="CP112" s="433">
        <f t="shared" si="1"/>
        <v>-172.33994171372842</v>
      </c>
      <c r="CQ112" s="212"/>
      <c r="CR112" s="212">
        <v>-5</v>
      </c>
      <c r="CS112" s="212">
        <v>-860</v>
      </c>
      <c r="CT112" s="183">
        <v>19</v>
      </c>
      <c r="CU112" s="183">
        <v>24</v>
      </c>
      <c r="CV112" s="485">
        <v>0</v>
      </c>
      <c r="CX112" s="422"/>
      <c r="CY112" s="475"/>
      <c r="CZ112" s="450"/>
      <c r="DA112" s="394"/>
      <c r="DB112" s="394"/>
      <c r="DC112" s="347"/>
      <c r="DD112" s="394"/>
      <c r="DE112" s="394"/>
      <c r="DF112" s="394"/>
      <c r="DG112" s="394"/>
      <c r="DH112" s="394"/>
    </row>
    <row r="113" spans="1:112" ht="10.5" customHeight="1" x14ac:dyDescent="0.25">
      <c r="A113" s="179">
        <v>305</v>
      </c>
      <c r="B113" s="181" t="s">
        <v>144</v>
      </c>
      <c r="C113" s="373">
        <v>15134</v>
      </c>
      <c r="D113" s="360">
        <v>20</v>
      </c>
      <c r="E113" s="213"/>
      <c r="G113" s="363">
        <v>23185</v>
      </c>
      <c r="H113" s="363">
        <v>119513</v>
      </c>
      <c r="I113" s="349"/>
      <c r="J113" s="363">
        <v>41462</v>
      </c>
      <c r="K113" s="363">
        <v>3766</v>
      </c>
      <c r="L113" s="363">
        <v>7377</v>
      </c>
      <c r="M113" s="363">
        <v>52605</v>
      </c>
      <c r="N113" s="363">
        <v>45725</v>
      </c>
      <c r="O113" s="363">
        <v>10</v>
      </c>
      <c r="P113" s="363">
        <v>381</v>
      </c>
      <c r="Q113" s="363">
        <v>1884</v>
      </c>
      <c r="R113" s="363">
        <v>223</v>
      </c>
      <c r="S113" s="363">
        <v>3292</v>
      </c>
      <c r="U113" s="363">
        <v>6023</v>
      </c>
      <c r="V113" s="363">
        <v>0</v>
      </c>
      <c r="W113" s="363">
        <v>0</v>
      </c>
      <c r="X113" s="363">
        <v>-2731</v>
      </c>
      <c r="Y113" s="363">
        <v>0</v>
      </c>
      <c r="Z113" s="363">
        <v>0</v>
      </c>
      <c r="AA113" s="363">
        <v>474</v>
      </c>
      <c r="AB113" s="363">
        <v>-2257</v>
      </c>
      <c r="AD113" s="363">
        <v>13192</v>
      </c>
      <c r="AG113" s="363">
        <v>-6157</v>
      </c>
      <c r="AH113" s="349"/>
      <c r="AJ113" s="363">
        <v>25122</v>
      </c>
      <c r="AL113" s="363">
        <v>29381</v>
      </c>
      <c r="AN113" s="349"/>
      <c r="AO113" s="454">
        <v>15213</v>
      </c>
      <c r="AP113" s="478">
        <v>20</v>
      </c>
      <c r="AQ113" s="213"/>
      <c r="AS113" s="509">
        <v>24238</v>
      </c>
      <c r="AT113" s="349">
        <v>120695</v>
      </c>
      <c r="AU113" s="480">
        <v>-96457</v>
      </c>
      <c r="AV113" s="199">
        <v>42693</v>
      </c>
      <c r="AW113" s="199">
        <v>4396</v>
      </c>
      <c r="AX113" s="199">
        <v>6799</v>
      </c>
      <c r="AY113" s="199">
        <v>53888</v>
      </c>
      <c r="AZ113" s="199">
        <v>51454</v>
      </c>
      <c r="BA113" s="181">
        <v>9</v>
      </c>
      <c r="BB113" s="511">
        <v>346</v>
      </c>
      <c r="BC113" s="181">
        <v>159</v>
      </c>
      <c r="BD113" s="181">
        <v>36</v>
      </c>
      <c r="BE113" s="199">
        <v>8671</v>
      </c>
      <c r="BG113" s="183">
        <v>7929</v>
      </c>
      <c r="BH113" s="183">
        <v>0</v>
      </c>
      <c r="BI113" s="183">
        <v>0</v>
      </c>
      <c r="BJ113" s="199">
        <v>742</v>
      </c>
      <c r="BK113" s="199">
        <v>0</v>
      </c>
      <c r="BL113" s="183">
        <v>0</v>
      </c>
      <c r="BM113" s="183">
        <v>862</v>
      </c>
      <c r="BN113" s="199">
        <v>1604</v>
      </c>
      <c r="BP113" s="199">
        <v>14796</v>
      </c>
      <c r="BS113" s="211"/>
      <c r="BV113" s="514">
        <v>23573</v>
      </c>
      <c r="BX113" s="181">
        <v>31076</v>
      </c>
      <c r="BZ113" s="349"/>
      <c r="CB113" s="340"/>
      <c r="CC113" s="488">
        <v>20</v>
      </c>
      <c r="CD113" s="378"/>
      <c r="CE113" s="378"/>
      <c r="CF113" s="195"/>
      <c r="CG113" s="349"/>
      <c r="CI113" s="181">
        <v>40265</v>
      </c>
      <c r="CJ113" s="183">
        <v>0</v>
      </c>
      <c r="CK113" s="421">
        <v>49750.986994252977</v>
      </c>
      <c r="CL113" s="494">
        <v>52353.122498491401</v>
      </c>
      <c r="CM113" s="483">
        <v>17772.761265152545</v>
      </c>
      <c r="CN113" s="483">
        <v>16609.677203841547</v>
      </c>
      <c r="CO113" s="483">
        <v>15497.502383157986</v>
      </c>
      <c r="CP113" s="433">
        <f t="shared" si="1"/>
        <v>-4025.9869942529767</v>
      </c>
      <c r="CQ113" s="212"/>
      <c r="CR113" s="212">
        <v>-460</v>
      </c>
      <c r="CS113" s="212">
        <v>-12997</v>
      </c>
      <c r="CT113" s="183">
        <v>1581</v>
      </c>
      <c r="CU113" s="183">
        <v>685</v>
      </c>
      <c r="CV113" s="485">
        <v>-173</v>
      </c>
      <c r="CX113" s="422"/>
      <c r="CY113" s="475"/>
      <c r="CZ113" s="450"/>
      <c r="DA113" s="394"/>
      <c r="DB113" s="394"/>
      <c r="DC113" s="347"/>
      <c r="DD113" s="394"/>
      <c r="DE113" s="394"/>
      <c r="DF113" s="394"/>
      <c r="DG113" s="394"/>
      <c r="DH113" s="394"/>
    </row>
    <row r="114" spans="1:112" x14ac:dyDescent="0.25">
      <c r="A114" s="179">
        <v>312</v>
      </c>
      <c r="B114" s="181" t="s">
        <v>145</v>
      </c>
      <c r="C114" s="373">
        <v>1313</v>
      </c>
      <c r="D114" s="360">
        <v>21.75</v>
      </c>
      <c r="E114" s="213"/>
      <c r="G114" s="363">
        <v>2037</v>
      </c>
      <c r="H114" s="363">
        <v>12782</v>
      </c>
      <c r="I114" s="349"/>
      <c r="J114" s="363">
        <v>3310</v>
      </c>
      <c r="K114" s="363">
        <v>720</v>
      </c>
      <c r="L114" s="363">
        <v>385</v>
      </c>
      <c r="M114" s="363">
        <v>4415</v>
      </c>
      <c r="N114" s="363">
        <v>4342</v>
      </c>
      <c r="O114" s="363">
        <v>5</v>
      </c>
      <c r="P114" s="363">
        <v>3</v>
      </c>
      <c r="Q114" s="363">
        <v>437</v>
      </c>
      <c r="R114" s="363">
        <v>-34</v>
      </c>
      <c r="S114" s="363">
        <v>-1515</v>
      </c>
      <c r="U114" s="363">
        <v>2662</v>
      </c>
      <c r="V114" s="363">
        <v>196</v>
      </c>
      <c r="W114" s="363">
        <v>0</v>
      </c>
      <c r="X114" s="363">
        <v>-3981</v>
      </c>
      <c r="Y114" s="363">
        <v>0</v>
      </c>
      <c r="Z114" s="363">
        <v>0</v>
      </c>
      <c r="AA114" s="363">
        <v>0</v>
      </c>
      <c r="AB114" s="363">
        <v>-3981</v>
      </c>
      <c r="AD114" s="363">
        <v>-3769</v>
      </c>
      <c r="AG114" s="363">
        <v>513</v>
      </c>
      <c r="AH114" s="349"/>
      <c r="AJ114" s="363">
        <v>6016</v>
      </c>
      <c r="AL114" s="363">
        <v>10952</v>
      </c>
      <c r="AN114" s="349"/>
      <c r="AO114" s="454">
        <v>1288</v>
      </c>
      <c r="AP114" s="478">
        <v>22.5</v>
      </c>
      <c r="AQ114" s="213"/>
      <c r="AS114" s="509">
        <v>1516</v>
      </c>
      <c r="AT114" s="349">
        <v>10189</v>
      </c>
      <c r="AU114" s="480">
        <v>-8673</v>
      </c>
      <c r="AV114" s="199">
        <v>3324</v>
      </c>
      <c r="AW114" s="199">
        <v>927</v>
      </c>
      <c r="AX114" s="199">
        <v>405</v>
      </c>
      <c r="AY114" s="199">
        <v>4656</v>
      </c>
      <c r="AZ114" s="199">
        <v>5121</v>
      </c>
      <c r="BA114" s="181">
        <v>53</v>
      </c>
      <c r="BB114" s="511">
        <v>2</v>
      </c>
      <c r="BC114" s="181">
        <v>219</v>
      </c>
      <c r="BD114" s="181">
        <v>35</v>
      </c>
      <c r="BE114" s="199">
        <v>1339</v>
      </c>
      <c r="BG114" s="183">
        <v>2219</v>
      </c>
      <c r="BH114" s="183">
        <v>0</v>
      </c>
      <c r="BI114" s="183">
        <v>0</v>
      </c>
      <c r="BJ114" s="199">
        <v>-880</v>
      </c>
      <c r="BK114" s="183">
        <v>0</v>
      </c>
      <c r="BL114" s="183">
        <v>0</v>
      </c>
      <c r="BM114" s="183">
        <v>0</v>
      </c>
      <c r="BN114" s="199">
        <v>-880</v>
      </c>
      <c r="BP114" s="199">
        <v>-4649</v>
      </c>
      <c r="BS114" s="211"/>
      <c r="BV114" s="514">
        <v>6772</v>
      </c>
      <c r="BX114" s="181">
        <v>13052</v>
      </c>
      <c r="BZ114" s="349"/>
      <c r="CB114" s="340"/>
      <c r="CC114" s="488">
        <v>22.5</v>
      </c>
      <c r="CD114" s="378"/>
      <c r="CE114" s="378"/>
      <c r="CF114" s="195"/>
      <c r="CG114" s="349"/>
      <c r="CI114" s="181">
        <v>4298</v>
      </c>
      <c r="CJ114" s="183">
        <v>0</v>
      </c>
      <c r="CK114" s="421">
        <v>4841.8713088126542</v>
      </c>
      <c r="CL114" s="494">
        <v>4787.2943571385194</v>
      </c>
      <c r="CM114" s="483">
        <v>541.90270387723081</v>
      </c>
      <c r="CN114" s="483">
        <v>664.68700028887611</v>
      </c>
      <c r="CO114" s="483">
        <v>706.41887139444896</v>
      </c>
      <c r="CP114" s="433">
        <f t="shared" si="1"/>
        <v>-499.87130881265421</v>
      </c>
      <c r="CQ114" s="212"/>
      <c r="CR114" s="212">
        <v>-385</v>
      </c>
      <c r="CS114" s="212">
        <v>-114</v>
      </c>
      <c r="CT114" s="183">
        <v>0</v>
      </c>
      <c r="CU114" s="183">
        <v>20</v>
      </c>
      <c r="CV114" s="485">
        <v>43</v>
      </c>
      <c r="CX114" s="422"/>
      <c r="CY114" s="475"/>
      <c r="CZ114" s="450"/>
      <c r="DA114" s="394"/>
      <c r="DB114" s="394"/>
      <c r="DC114" s="347"/>
      <c r="DD114" s="394"/>
      <c r="DE114" s="394"/>
      <c r="DF114" s="394"/>
      <c r="DG114" s="394"/>
      <c r="DH114" s="394"/>
    </row>
    <row r="115" spans="1:112" x14ac:dyDescent="0.25">
      <c r="A115" s="179">
        <v>316</v>
      </c>
      <c r="B115" s="181" t="s">
        <v>146</v>
      </c>
      <c r="C115" s="373">
        <v>4368</v>
      </c>
      <c r="D115" s="360">
        <v>22</v>
      </c>
      <c r="E115" s="213"/>
      <c r="G115" s="363">
        <v>2737</v>
      </c>
      <c r="H115" s="363">
        <v>26365</v>
      </c>
      <c r="I115" s="349"/>
      <c r="J115" s="363">
        <v>14235</v>
      </c>
      <c r="K115" s="363">
        <v>698</v>
      </c>
      <c r="L115" s="363">
        <v>904</v>
      </c>
      <c r="M115" s="363">
        <v>15837</v>
      </c>
      <c r="N115" s="363">
        <v>7980</v>
      </c>
      <c r="O115" s="363">
        <v>59</v>
      </c>
      <c r="P115" s="363">
        <v>118</v>
      </c>
      <c r="Q115" s="363">
        <v>146</v>
      </c>
      <c r="R115" s="363">
        <v>22</v>
      </c>
      <c r="S115" s="363">
        <v>254</v>
      </c>
      <c r="U115" s="363">
        <v>956</v>
      </c>
      <c r="V115" s="363">
        <v>0</v>
      </c>
      <c r="W115" s="363">
        <v>0</v>
      </c>
      <c r="X115" s="363">
        <v>-702</v>
      </c>
      <c r="Y115" s="363">
        <v>0</v>
      </c>
      <c r="Z115" s="363">
        <v>0</v>
      </c>
      <c r="AA115" s="363">
        <v>0</v>
      </c>
      <c r="AB115" s="363">
        <v>-702</v>
      </c>
      <c r="AD115" s="363">
        <v>3465</v>
      </c>
      <c r="AG115" s="363">
        <v>-5305</v>
      </c>
      <c r="AH115" s="349"/>
      <c r="AJ115" s="363">
        <v>7631</v>
      </c>
      <c r="AL115" s="363">
        <v>17694</v>
      </c>
      <c r="AN115" s="349"/>
      <c r="AO115" s="454">
        <v>4326</v>
      </c>
      <c r="AP115" s="478">
        <v>22</v>
      </c>
      <c r="AQ115" s="213"/>
      <c r="AS115" s="509">
        <v>2619</v>
      </c>
      <c r="AT115" s="349">
        <v>25339</v>
      </c>
      <c r="AU115" s="480">
        <v>-22720</v>
      </c>
      <c r="AV115" s="199">
        <v>15411</v>
      </c>
      <c r="AW115" s="199">
        <v>837</v>
      </c>
      <c r="AX115" s="199">
        <v>996</v>
      </c>
      <c r="AY115" s="199">
        <v>17244</v>
      </c>
      <c r="AZ115" s="199">
        <v>9837</v>
      </c>
      <c r="BA115" s="181">
        <v>59</v>
      </c>
      <c r="BB115" s="511">
        <v>30</v>
      </c>
      <c r="BC115" s="181">
        <v>145</v>
      </c>
      <c r="BD115" s="181">
        <v>12</v>
      </c>
      <c r="BE115" s="199">
        <v>4523</v>
      </c>
      <c r="BG115" s="183">
        <v>1071</v>
      </c>
      <c r="BH115" s="183">
        <v>0</v>
      </c>
      <c r="BI115" s="183">
        <v>0</v>
      </c>
      <c r="BJ115" s="199">
        <v>3452</v>
      </c>
      <c r="BK115" s="183">
        <v>0</v>
      </c>
      <c r="BL115" s="183">
        <v>0</v>
      </c>
      <c r="BM115" s="183">
        <v>0</v>
      </c>
      <c r="BN115" s="199">
        <v>3452</v>
      </c>
      <c r="BP115" s="199">
        <v>6917</v>
      </c>
      <c r="BS115" s="211"/>
      <c r="BV115" s="514">
        <v>5398</v>
      </c>
      <c r="BX115" s="181">
        <v>16229</v>
      </c>
      <c r="BZ115" s="349"/>
      <c r="CB115" s="340"/>
      <c r="CC115" s="488">
        <v>22</v>
      </c>
      <c r="CD115" s="378"/>
      <c r="CE115" s="378"/>
      <c r="CF115" s="195"/>
      <c r="CG115" s="349"/>
      <c r="CI115" s="181">
        <v>8022</v>
      </c>
      <c r="CJ115" s="183">
        <v>0</v>
      </c>
      <c r="CK115" s="421">
        <v>8738.694180949813</v>
      </c>
      <c r="CL115" s="494">
        <v>8898.4379475565256</v>
      </c>
      <c r="CM115" s="483">
        <v>115.46499049112595</v>
      </c>
      <c r="CN115" s="483">
        <v>-52.442793332246765</v>
      </c>
      <c r="CO115" s="483">
        <v>-90.371272627328267</v>
      </c>
      <c r="CP115" s="433">
        <f t="shared" si="1"/>
        <v>-758.69418094981302</v>
      </c>
      <c r="CQ115" s="212"/>
      <c r="CR115" s="212">
        <v>-13</v>
      </c>
      <c r="CS115" s="212">
        <v>-3682</v>
      </c>
      <c r="CT115" s="183">
        <v>600</v>
      </c>
      <c r="CU115" s="183">
        <v>16</v>
      </c>
      <c r="CV115" s="485">
        <v>102</v>
      </c>
      <c r="CX115" s="422"/>
      <c r="CY115" s="475"/>
      <c r="CZ115" s="450"/>
      <c r="DA115" s="394"/>
      <c r="DB115" s="394"/>
      <c r="DC115" s="347"/>
      <c r="DD115" s="394"/>
      <c r="DE115" s="394"/>
      <c r="DF115" s="394"/>
      <c r="DG115" s="394"/>
      <c r="DH115" s="394"/>
    </row>
    <row r="116" spans="1:112" x14ac:dyDescent="0.25">
      <c r="A116" s="179">
        <v>317</v>
      </c>
      <c r="B116" s="181" t="s">
        <v>147</v>
      </c>
      <c r="C116" s="373">
        <v>2576</v>
      </c>
      <c r="D116" s="360">
        <v>21.5</v>
      </c>
      <c r="E116" s="213"/>
      <c r="G116" s="363">
        <v>1952</v>
      </c>
      <c r="H116" s="363">
        <v>19532</v>
      </c>
      <c r="I116" s="349"/>
      <c r="J116" s="363">
        <v>6295</v>
      </c>
      <c r="K116" s="363">
        <v>621</v>
      </c>
      <c r="L116" s="363">
        <v>595</v>
      </c>
      <c r="M116" s="363">
        <v>7511</v>
      </c>
      <c r="N116" s="363">
        <v>10942</v>
      </c>
      <c r="O116" s="363">
        <v>6</v>
      </c>
      <c r="P116" s="363">
        <v>54</v>
      </c>
      <c r="Q116" s="363">
        <v>647</v>
      </c>
      <c r="R116" s="363">
        <v>10</v>
      </c>
      <c r="S116" s="363">
        <v>1462</v>
      </c>
      <c r="U116" s="363">
        <v>638</v>
      </c>
      <c r="V116" s="363">
        <v>0</v>
      </c>
      <c r="W116" s="363">
        <v>0</v>
      </c>
      <c r="X116" s="363">
        <v>824</v>
      </c>
      <c r="Y116" s="363">
        <v>0</v>
      </c>
      <c r="Z116" s="363">
        <v>55</v>
      </c>
      <c r="AA116" s="363">
        <v>0</v>
      </c>
      <c r="AB116" s="363">
        <v>879</v>
      </c>
      <c r="AD116" s="363">
        <v>6336</v>
      </c>
      <c r="AG116" s="363">
        <v>-690</v>
      </c>
      <c r="AH116" s="349"/>
      <c r="AJ116" s="363">
        <v>9741</v>
      </c>
      <c r="AL116" s="363">
        <v>12445</v>
      </c>
      <c r="AN116" s="349"/>
      <c r="AO116" s="454">
        <v>2538</v>
      </c>
      <c r="AP116" s="478">
        <v>21.5</v>
      </c>
      <c r="AQ116" s="213"/>
      <c r="AS116" s="509">
        <v>1910</v>
      </c>
      <c r="AT116" s="349">
        <v>19697</v>
      </c>
      <c r="AU116" s="480">
        <v>-17787</v>
      </c>
      <c r="AV116" s="199">
        <v>5788</v>
      </c>
      <c r="AW116" s="199">
        <v>702</v>
      </c>
      <c r="AX116" s="199">
        <v>533</v>
      </c>
      <c r="AY116" s="199">
        <v>7023</v>
      </c>
      <c r="AZ116" s="199">
        <v>12058</v>
      </c>
      <c r="BA116" s="181">
        <v>11</v>
      </c>
      <c r="BB116" s="511">
        <v>65</v>
      </c>
      <c r="BC116" s="181">
        <v>916</v>
      </c>
      <c r="BD116" s="181">
        <v>9</v>
      </c>
      <c r="BE116" s="199">
        <v>2147</v>
      </c>
      <c r="BG116" s="183">
        <v>719</v>
      </c>
      <c r="BH116" s="183">
        <v>0</v>
      </c>
      <c r="BI116" s="183">
        <v>0</v>
      </c>
      <c r="BJ116" s="199">
        <v>1428</v>
      </c>
      <c r="BK116" s="183">
        <v>0</v>
      </c>
      <c r="BL116" s="183">
        <v>55</v>
      </c>
      <c r="BM116" s="183">
        <v>0</v>
      </c>
      <c r="BN116" s="199">
        <v>1483</v>
      </c>
      <c r="BP116" s="199">
        <v>7821</v>
      </c>
      <c r="BS116" s="211"/>
      <c r="BV116" s="514">
        <v>10616</v>
      </c>
      <c r="BX116" s="181">
        <v>11774</v>
      </c>
      <c r="BZ116" s="349"/>
      <c r="CB116" s="340"/>
      <c r="CC116" s="488">
        <v>21.5</v>
      </c>
      <c r="CD116" s="378"/>
      <c r="CE116" s="378"/>
      <c r="CF116" s="195"/>
      <c r="CG116" s="349"/>
      <c r="CH116" s="347"/>
      <c r="CI116" s="181">
        <v>9676</v>
      </c>
      <c r="CJ116" s="183">
        <v>0</v>
      </c>
      <c r="CK116" s="421">
        <v>11829.787606703616</v>
      </c>
      <c r="CL116" s="494">
        <v>12329.955080760752</v>
      </c>
      <c r="CM116" s="483">
        <v>5277.5531005240045</v>
      </c>
      <c r="CN116" s="483">
        <v>5311.5604128319419</v>
      </c>
      <c r="CO116" s="483">
        <v>5271.2214491017603</v>
      </c>
      <c r="CP116" s="433">
        <f t="shared" si="1"/>
        <v>-887.78760670361589</v>
      </c>
      <c r="CQ116" s="212"/>
      <c r="CR116" s="212">
        <v>-28</v>
      </c>
      <c r="CS116" s="212">
        <v>-802</v>
      </c>
      <c r="CT116" s="183">
        <v>0</v>
      </c>
      <c r="CU116" s="183">
        <v>43</v>
      </c>
      <c r="CV116" s="485">
        <v>-45</v>
      </c>
      <c r="CX116" s="422"/>
      <c r="CY116" s="475"/>
      <c r="CZ116" s="450"/>
      <c r="DA116" s="394"/>
      <c r="DB116" s="394"/>
      <c r="DC116" s="347"/>
      <c r="DD116" s="394"/>
      <c r="DE116" s="394"/>
      <c r="DF116" s="394"/>
      <c r="DG116" s="394"/>
      <c r="DH116" s="394"/>
    </row>
    <row r="117" spans="1:112" x14ac:dyDescent="0.25">
      <c r="A117" s="179">
        <v>398</v>
      </c>
      <c r="B117" s="181" t="s">
        <v>148</v>
      </c>
      <c r="C117" s="373">
        <v>119823</v>
      </c>
      <c r="D117" s="360">
        <v>20.75</v>
      </c>
      <c r="E117" s="213"/>
      <c r="G117" s="363">
        <v>94281</v>
      </c>
      <c r="H117" s="363">
        <v>745758</v>
      </c>
      <c r="I117" s="349"/>
      <c r="J117" s="363">
        <v>403837</v>
      </c>
      <c r="K117" s="363">
        <v>29403</v>
      </c>
      <c r="L117" s="363">
        <v>42116</v>
      </c>
      <c r="M117" s="363">
        <v>475356</v>
      </c>
      <c r="N117" s="363">
        <v>193870</v>
      </c>
      <c r="O117" s="363">
        <v>8478</v>
      </c>
      <c r="P117" s="363">
        <v>13117</v>
      </c>
      <c r="Q117" s="363">
        <v>18933</v>
      </c>
      <c r="R117" s="363">
        <v>5600</v>
      </c>
      <c r="S117" s="363">
        <v>26443</v>
      </c>
      <c r="U117" s="363">
        <v>47927</v>
      </c>
      <c r="V117" s="363">
        <v>941</v>
      </c>
      <c r="W117" s="363">
        <v>0</v>
      </c>
      <c r="X117" s="363">
        <v>-20543</v>
      </c>
      <c r="Y117" s="363">
        <v>227</v>
      </c>
      <c r="Z117" s="363">
        <v>0</v>
      </c>
      <c r="AA117" s="363">
        <v>0</v>
      </c>
      <c r="AB117" s="363">
        <v>-20316</v>
      </c>
      <c r="AD117" s="363">
        <v>131404</v>
      </c>
      <c r="AG117" s="363">
        <v>-92142</v>
      </c>
      <c r="AH117" s="349"/>
      <c r="AJ117" s="363">
        <v>40301</v>
      </c>
      <c r="AL117" s="363">
        <v>841790</v>
      </c>
      <c r="AN117" s="349"/>
      <c r="AO117" s="454">
        <v>119984</v>
      </c>
      <c r="AP117" s="478">
        <v>20.75</v>
      </c>
      <c r="AQ117" s="213"/>
      <c r="AS117" s="509">
        <v>88073</v>
      </c>
      <c r="AT117" s="349">
        <v>756311</v>
      </c>
      <c r="AU117" s="480">
        <v>-668238</v>
      </c>
      <c r="AV117" s="199">
        <v>434333</v>
      </c>
      <c r="AW117" s="199">
        <v>32227</v>
      </c>
      <c r="AX117" s="199">
        <v>38059</v>
      </c>
      <c r="AY117" s="199">
        <v>504619</v>
      </c>
      <c r="AZ117" s="199">
        <v>243834</v>
      </c>
      <c r="BA117" s="181">
        <v>8465</v>
      </c>
      <c r="BB117" s="511">
        <v>11947</v>
      </c>
      <c r="BC117" s="181">
        <v>20028</v>
      </c>
      <c r="BD117" s="181">
        <v>3874</v>
      </c>
      <c r="BE117" s="199">
        <v>92887</v>
      </c>
      <c r="BG117" s="183">
        <v>50704</v>
      </c>
      <c r="BH117" s="183">
        <v>0</v>
      </c>
      <c r="BI117" s="183">
        <v>0</v>
      </c>
      <c r="BJ117" s="199">
        <v>42183</v>
      </c>
      <c r="BK117" s="183">
        <v>273</v>
      </c>
      <c r="BL117" s="183">
        <v>0</v>
      </c>
      <c r="BM117" s="183">
        <v>-136</v>
      </c>
      <c r="BN117" s="199">
        <v>42320</v>
      </c>
      <c r="BP117" s="199">
        <v>173724</v>
      </c>
      <c r="BS117" s="211"/>
      <c r="BV117" s="514">
        <v>72805</v>
      </c>
      <c r="BX117" s="181">
        <v>873709</v>
      </c>
      <c r="BZ117" s="349"/>
      <c r="CB117" s="340"/>
      <c r="CC117" s="488">
        <v>20.75</v>
      </c>
      <c r="CD117" s="378"/>
      <c r="CE117" s="378"/>
      <c r="CF117" s="194"/>
      <c r="CG117" s="349"/>
      <c r="CI117" s="181">
        <v>134371</v>
      </c>
      <c r="CJ117" s="183">
        <v>0</v>
      </c>
      <c r="CK117" s="421">
        <v>222928.98405246285</v>
      </c>
      <c r="CL117" s="494">
        <v>234084.08607171883</v>
      </c>
      <c r="CM117" s="483">
        <v>85855.422372399145</v>
      </c>
      <c r="CN117" s="483">
        <v>83474.655572441698</v>
      </c>
      <c r="CO117" s="483">
        <v>80294.652980568091</v>
      </c>
      <c r="CP117" s="433">
        <f t="shared" si="1"/>
        <v>-29058.984052462853</v>
      </c>
      <c r="CQ117" s="212"/>
      <c r="CR117" s="212">
        <v>394</v>
      </c>
      <c r="CS117" s="212">
        <v>-94469</v>
      </c>
      <c r="CT117" s="183">
        <v>1304</v>
      </c>
      <c r="CU117" s="183">
        <v>9222</v>
      </c>
      <c r="CV117" s="485">
        <v>44375</v>
      </c>
      <c r="CX117" s="422"/>
      <c r="CY117" s="475"/>
      <c r="CZ117" s="450"/>
      <c r="DA117" s="394"/>
      <c r="DB117" s="394"/>
      <c r="DC117" s="347"/>
      <c r="DD117" s="394"/>
      <c r="DE117" s="394"/>
      <c r="DF117" s="394"/>
      <c r="DG117" s="394"/>
      <c r="DH117" s="394"/>
    </row>
    <row r="118" spans="1:112" x14ac:dyDescent="0.25">
      <c r="A118" s="179">
        <v>399</v>
      </c>
      <c r="B118" s="181" t="s">
        <v>149</v>
      </c>
      <c r="C118" s="373">
        <v>8017</v>
      </c>
      <c r="D118" s="360">
        <v>21.75</v>
      </c>
      <c r="E118" s="213"/>
      <c r="G118" s="363">
        <v>4842</v>
      </c>
      <c r="H118" s="363">
        <v>49962</v>
      </c>
      <c r="I118" s="349"/>
      <c r="J118" s="363">
        <v>28304</v>
      </c>
      <c r="K118" s="363">
        <v>998</v>
      </c>
      <c r="L118" s="363">
        <v>1423</v>
      </c>
      <c r="M118" s="363">
        <v>30725</v>
      </c>
      <c r="N118" s="363">
        <v>15591</v>
      </c>
      <c r="O118" s="363">
        <v>5</v>
      </c>
      <c r="P118" s="363">
        <v>154</v>
      </c>
      <c r="Q118" s="363">
        <v>98</v>
      </c>
      <c r="R118" s="363">
        <v>12</v>
      </c>
      <c r="S118" s="363">
        <v>1133</v>
      </c>
      <c r="U118" s="363">
        <v>2045</v>
      </c>
      <c r="V118" s="363">
        <v>945</v>
      </c>
      <c r="W118" s="363">
        <v>0</v>
      </c>
      <c r="X118" s="363">
        <v>33</v>
      </c>
      <c r="Y118" s="363">
        <v>34</v>
      </c>
      <c r="Z118" s="363">
        <v>0</v>
      </c>
      <c r="AA118" s="363">
        <v>0</v>
      </c>
      <c r="AB118" s="363">
        <v>67</v>
      </c>
      <c r="AD118" s="363">
        <v>-2527</v>
      </c>
      <c r="AG118" s="363">
        <v>-1598</v>
      </c>
      <c r="AH118" s="349"/>
      <c r="AJ118" s="363">
        <v>2088</v>
      </c>
      <c r="AL118" s="363">
        <v>32575</v>
      </c>
      <c r="AN118" s="349"/>
      <c r="AO118" s="454">
        <v>7996</v>
      </c>
      <c r="AP118" s="478">
        <v>21.75</v>
      </c>
      <c r="AQ118" s="213"/>
      <c r="AS118" s="509">
        <v>4973</v>
      </c>
      <c r="AT118" s="349">
        <v>51413</v>
      </c>
      <c r="AU118" s="480">
        <v>-46440</v>
      </c>
      <c r="AV118" s="199">
        <v>28891</v>
      </c>
      <c r="AW118" s="199">
        <v>1046</v>
      </c>
      <c r="AX118" s="199">
        <v>1354</v>
      </c>
      <c r="AY118" s="199">
        <v>31291</v>
      </c>
      <c r="AZ118" s="199">
        <v>19272</v>
      </c>
      <c r="BA118" s="181">
        <v>9</v>
      </c>
      <c r="BB118" s="511">
        <v>131</v>
      </c>
      <c r="BC118" s="181">
        <v>42</v>
      </c>
      <c r="BD118" s="181">
        <v>4</v>
      </c>
      <c r="BE118" s="199">
        <v>4039</v>
      </c>
      <c r="BG118" s="183">
        <v>2073</v>
      </c>
      <c r="BH118" s="183">
        <v>0</v>
      </c>
      <c r="BI118" s="183">
        <v>0</v>
      </c>
      <c r="BJ118" s="199">
        <v>1966</v>
      </c>
      <c r="BK118" s="199">
        <v>0</v>
      </c>
      <c r="BL118" s="183">
        <v>0</v>
      </c>
      <c r="BM118" s="199">
        <v>0</v>
      </c>
      <c r="BN118" s="199">
        <v>1966</v>
      </c>
      <c r="BP118" s="199">
        <v>-561</v>
      </c>
      <c r="BS118" s="211"/>
      <c r="BV118" s="514">
        <v>1291</v>
      </c>
      <c r="BX118" s="181">
        <v>29865</v>
      </c>
      <c r="BZ118" s="349"/>
      <c r="CB118" s="340"/>
      <c r="CC118" s="490">
        <v>21.75</v>
      </c>
      <c r="CD118" s="378"/>
      <c r="CE118" s="366"/>
      <c r="CF118" s="201"/>
      <c r="CG118" s="349"/>
      <c r="CI118" s="181">
        <v>12512</v>
      </c>
      <c r="CJ118" s="183">
        <v>0</v>
      </c>
      <c r="CK118" s="421">
        <v>17594.501541980819</v>
      </c>
      <c r="CL118" s="494">
        <v>18534.278681960772</v>
      </c>
      <c r="CM118" s="483">
        <v>6302.423141414517</v>
      </c>
      <c r="CN118" s="483">
        <v>6337.6776651683194</v>
      </c>
      <c r="CO118" s="483">
        <v>6655.1814908270699</v>
      </c>
      <c r="CP118" s="433">
        <f t="shared" si="1"/>
        <v>-2003.5015419808187</v>
      </c>
      <c r="CQ118" s="212"/>
      <c r="CR118" s="212">
        <v>-59</v>
      </c>
      <c r="CS118" s="212">
        <v>-1604</v>
      </c>
      <c r="CT118" s="183">
        <v>8</v>
      </c>
      <c r="CU118" s="183">
        <v>79</v>
      </c>
      <c r="CV118" s="485">
        <v>45</v>
      </c>
      <c r="CX118" s="422"/>
      <c r="CY118" s="475"/>
      <c r="CZ118" s="450"/>
      <c r="DA118" s="394"/>
      <c r="DB118" s="394"/>
      <c r="DC118" s="347"/>
      <c r="DD118" s="394"/>
      <c r="DE118" s="394"/>
      <c r="DF118" s="394"/>
      <c r="DG118" s="394"/>
      <c r="DH118" s="394"/>
    </row>
    <row r="119" spans="1:112" x14ac:dyDescent="0.25">
      <c r="A119" s="179">
        <v>400</v>
      </c>
      <c r="B119" s="181" t="s">
        <v>150</v>
      </c>
      <c r="C119" s="373">
        <v>8588</v>
      </c>
      <c r="D119" s="360">
        <v>20.75</v>
      </c>
      <c r="E119" s="213"/>
      <c r="G119" s="363">
        <v>9119</v>
      </c>
      <c r="H119" s="363">
        <v>59563</v>
      </c>
      <c r="I119" s="349"/>
      <c r="J119" s="363">
        <v>26313</v>
      </c>
      <c r="K119" s="363">
        <v>1934</v>
      </c>
      <c r="L119" s="363">
        <v>2099</v>
      </c>
      <c r="M119" s="363">
        <v>30346</v>
      </c>
      <c r="N119" s="363">
        <v>20212</v>
      </c>
      <c r="O119" s="363">
        <v>0</v>
      </c>
      <c r="P119" s="363">
        <v>10</v>
      </c>
      <c r="Q119" s="363">
        <v>125</v>
      </c>
      <c r="R119" s="363">
        <v>113</v>
      </c>
      <c r="S119" s="363">
        <v>116</v>
      </c>
      <c r="U119" s="363">
        <v>2786</v>
      </c>
      <c r="V119" s="363">
        <v>0</v>
      </c>
      <c r="W119" s="363">
        <v>0</v>
      </c>
      <c r="X119" s="363">
        <v>-2670</v>
      </c>
      <c r="Y119" s="363">
        <v>121</v>
      </c>
      <c r="Z119" s="363">
        <v>0</v>
      </c>
      <c r="AA119" s="363">
        <v>0</v>
      </c>
      <c r="AB119" s="363">
        <v>-2549</v>
      </c>
      <c r="AD119" s="363">
        <v>2372</v>
      </c>
      <c r="AG119" s="363">
        <v>-6049</v>
      </c>
      <c r="AH119" s="349"/>
      <c r="AJ119" s="363">
        <v>1396</v>
      </c>
      <c r="AL119" s="363">
        <v>27455</v>
      </c>
      <c r="AN119" s="349"/>
      <c r="AO119" s="454">
        <v>8468</v>
      </c>
      <c r="AP119" s="478">
        <v>20.75</v>
      </c>
      <c r="AQ119" s="213"/>
      <c r="AS119" s="509">
        <v>9059</v>
      </c>
      <c r="AT119" s="349">
        <v>58321</v>
      </c>
      <c r="AU119" s="480">
        <v>-49262</v>
      </c>
      <c r="AV119" s="199">
        <v>27007</v>
      </c>
      <c r="AW119" s="199">
        <v>2097</v>
      </c>
      <c r="AX119" s="199">
        <v>1881</v>
      </c>
      <c r="AY119" s="199">
        <v>30985</v>
      </c>
      <c r="AZ119" s="199">
        <v>24030</v>
      </c>
      <c r="BA119" s="181">
        <v>0</v>
      </c>
      <c r="BB119" s="511">
        <v>25</v>
      </c>
      <c r="BC119" s="181">
        <v>184</v>
      </c>
      <c r="BD119" s="181">
        <v>96</v>
      </c>
      <c r="BE119" s="199">
        <v>5816</v>
      </c>
      <c r="BG119" s="183">
        <v>3010</v>
      </c>
      <c r="BH119" s="183">
        <v>0</v>
      </c>
      <c r="BI119" s="183">
        <v>0</v>
      </c>
      <c r="BJ119" s="199">
        <v>2806</v>
      </c>
      <c r="BK119" s="199">
        <v>121</v>
      </c>
      <c r="BL119" s="183">
        <v>0</v>
      </c>
      <c r="BM119" s="199">
        <v>0</v>
      </c>
      <c r="BN119" s="199">
        <v>2927</v>
      </c>
      <c r="BP119" s="199">
        <v>5299</v>
      </c>
      <c r="BS119" s="211"/>
      <c r="BV119" s="514">
        <v>1228</v>
      </c>
      <c r="BX119" s="181">
        <v>27400</v>
      </c>
      <c r="BZ119" s="349"/>
      <c r="CB119" s="340"/>
      <c r="CC119" s="488">
        <v>20.75</v>
      </c>
      <c r="CD119" s="378"/>
      <c r="CE119" s="378"/>
      <c r="CF119" s="195"/>
      <c r="CG119" s="349"/>
      <c r="CI119" s="181">
        <v>15878</v>
      </c>
      <c r="CJ119" s="183">
        <v>0</v>
      </c>
      <c r="CK119" s="421">
        <v>23644.911566640862</v>
      </c>
      <c r="CL119" s="494">
        <v>24556.17781944809</v>
      </c>
      <c r="CM119" s="483">
        <v>9293.3537893382218</v>
      </c>
      <c r="CN119" s="483">
        <v>9523.6402074450089</v>
      </c>
      <c r="CO119" s="483">
        <v>9468.5633103740402</v>
      </c>
      <c r="CP119" s="433">
        <f t="shared" si="1"/>
        <v>-3432.9115666408616</v>
      </c>
      <c r="CQ119" s="212"/>
      <c r="CR119" s="212">
        <v>-70</v>
      </c>
      <c r="CS119" s="212">
        <v>-6731</v>
      </c>
      <c r="CT119" s="183">
        <v>0</v>
      </c>
      <c r="CU119" s="183">
        <v>214</v>
      </c>
      <c r="CV119" s="485">
        <v>0</v>
      </c>
      <c r="CX119" s="422"/>
      <c r="CY119" s="475"/>
      <c r="CZ119" s="450"/>
      <c r="DA119" s="394"/>
      <c r="DB119" s="394"/>
      <c r="DC119" s="347"/>
      <c r="DD119" s="394"/>
      <c r="DE119" s="394"/>
      <c r="DF119" s="394"/>
      <c r="DG119" s="394"/>
      <c r="DH119" s="394"/>
    </row>
    <row r="120" spans="1:112" x14ac:dyDescent="0.25">
      <c r="A120" s="179">
        <v>407</v>
      </c>
      <c r="B120" s="181" t="s">
        <v>151</v>
      </c>
      <c r="C120" s="373">
        <v>2606</v>
      </c>
      <c r="D120" s="360">
        <v>20.5</v>
      </c>
      <c r="E120" s="213"/>
      <c r="G120" s="363">
        <v>2783</v>
      </c>
      <c r="H120" s="363">
        <v>19497</v>
      </c>
      <c r="I120" s="349"/>
      <c r="J120" s="363">
        <v>7678</v>
      </c>
      <c r="K120" s="363">
        <v>601</v>
      </c>
      <c r="L120" s="363">
        <v>561</v>
      </c>
      <c r="M120" s="363">
        <v>8840</v>
      </c>
      <c r="N120" s="363">
        <v>7226</v>
      </c>
      <c r="O120" s="363">
        <v>1</v>
      </c>
      <c r="P120" s="363">
        <v>34</v>
      </c>
      <c r="Q120" s="363">
        <v>859</v>
      </c>
      <c r="R120" s="363">
        <v>4</v>
      </c>
      <c r="S120" s="363">
        <v>174</v>
      </c>
      <c r="U120" s="363">
        <v>584</v>
      </c>
      <c r="V120" s="363">
        <v>0</v>
      </c>
      <c r="W120" s="363">
        <v>0</v>
      </c>
      <c r="X120" s="363">
        <v>-410</v>
      </c>
      <c r="Y120" s="363">
        <v>0</v>
      </c>
      <c r="Z120" s="363">
        <v>0</v>
      </c>
      <c r="AA120" s="363">
        <v>0</v>
      </c>
      <c r="AB120" s="363">
        <v>-410</v>
      </c>
      <c r="AD120" s="363">
        <v>407</v>
      </c>
      <c r="AG120" s="363">
        <v>-511</v>
      </c>
      <c r="AH120" s="349"/>
      <c r="AJ120" s="363">
        <v>724</v>
      </c>
      <c r="AL120" s="363">
        <v>7956</v>
      </c>
      <c r="AN120" s="349"/>
      <c r="AO120" s="454">
        <v>2621</v>
      </c>
      <c r="AP120" s="478">
        <v>21</v>
      </c>
      <c r="AQ120" s="213"/>
      <c r="AS120" s="509">
        <v>2839</v>
      </c>
      <c r="AT120" s="349">
        <v>18272</v>
      </c>
      <c r="AU120" s="480">
        <v>-15433</v>
      </c>
      <c r="AV120" s="199">
        <v>7630</v>
      </c>
      <c r="AW120" s="199">
        <v>619</v>
      </c>
      <c r="AX120" s="199">
        <v>532</v>
      </c>
      <c r="AY120" s="199">
        <v>8781</v>
      </c>
      <c r="AZ120" s="199">
        <v>8679</v>
      </c>
      <c r="BA120" s="181">
        <v>3</v>
      </c>
      <c r="BB120" s="511">
        <v>30</v>
      </c>
      <c r="BC120" s="181">
        <v>975</v>
      </c>
      <c r="BD120" s="181">
        <v>5</v>
      </c>
      <c r="BE120" s="199">
        <v>2970</v>
      </c>
      <c r="BG120" s="183">
        <v>712</v>
      </c>
      <c r="BH120" s="199">
        <v>0</v>
      </c>
      <c r="BI120" s="183">
        <v>0</v>
      </c>
      <c r="BJ120" s="199">
        <v>2258</v>
      </c>
      <c r="BK120" s="183">
        <v>0</v>
      </c>
      <c r="BL120" s="183">
        <v>-1000</v>
      </c>
      <c r="BM120" s="183">
        <v>0</v>
      </c>
      <c r="BN120" s="199">
        <v>1258</v>
      </c>
      <c r="BP120" s="199">
        <v>1665</v>
      </c>
      <c r="BS120" s="211"/>
      <c r="BV120" s="514">
        <v>2404</v>
      </c>
      <c r="BX120" s="181">
        <v>7554</v>
      </c>
      <c r="BZ120" s="349"/>
      <c r="CB120" s="340"/>
      <c r="CC120" s="488">
        <v>21</v>
      </c>
      <c r="CD120" s="378"/>
      <c r="CE120" s="378"/>
      <c r="CF120" s="195"/>
      <c r="CG120" s="349"/>
      <c r="CI120" s="181">
        <v>6931</v>
      </c>
      <c r="CJ120" s="183">
        <v>0</v>
      </c>
      <c r="CK120" s="421">
        <v>7933.4666136324777</v>
      </c>
      <c r="CL120" s="494">
        <v>7934.666741484356</v>
      </c>
      <c r="CM120" s="483">
        <v>2226.9545187749986</v>
      </c>
      <c r="CN120" s="483">
        <v>2031.2499786728254</v>
      </c>
      <c r="CO120" s="483">
        <v>1862.0751611700316</v>
      </c>
      <c r="CP120" s="433">
        <f t="shared" si="1"/>
        <v>-707.46661363247767</v>
      </c>
      <c r="CQ120" s="212"/>
      <c r="CR120" s="212">
        <v>-27</v>
      </c>
      <c r="CS120" s="212">
        <v>-610</v>
      </c>
      <c r="CT120" s="183">
        <v>13</v>
      </c>
      <c r="CU120" s="183">
        <v>250</v>
      </c>
      <c r="CV120" s="485">
        <v>0</v>
      </c>
      <c r="CX120" s="422"/>
      <c r="CY120" s="475"/>
      <c r="CZ120" s="450"/>
      <c r="DA120" s="394"/>
      <c r="DB120" s="394"/>
      <c r="DC120" s="347"/>
      <c r="DD120" s="394"/>
      <c r="DE120" s="394"/>
      <c r="DF120" s="394"/>
      <c r="DG120" s="394"/>
      <c r="DH120" s="394"/>
    </row>
    <row r="121" spans="1:112" x14ac:dyDescent="0.25">
      <c r="A121" s="352">
        <v>402</v>
      </c>
      <c r="B121" s="349" t="s">
        <v>152</v>
      </c>
      <c r="C121" s="373">
        <v>9485</v>
      </c>
      <c r="D121" s="478">
        <v>21.25</v>
      </c>
      <c r="E121" s="429"/>
      <c r="F121" s="428"/>
      <c r="G121" s="363">
        <v>7702</v>
      </c>
      <c r="H121" s="363">
        <v>66670</v>
      </c>
      <c r="I121" s="362"/>
      <c r="J121" s="363">
        <v>26302</v>
      </c>
      <c r="K121" s="363">
        <v>1645</v>
      </c>
      <c r="L121" s="363">
        <v>2253</v>
      </c>
      <c r="M121" s="363">
        <v>30200</v>
      </c>
      <c r="N121" s="363">
        <v>29784</v>
      </c>
      <c r="O121" s="363">
        <v>540</v>
      </c>
      <c r="P121" s="363">
        <v>248</v>
      </c>
      <c r="Q121" s="363">
        <v>842</v>
      </c>
      <c r="R121" s="363">
        <v>10</v>
      </c>
      <c r="S121" s="363">
        <v>2140</v>
      </c>
      <c r="T121" s="428"/>
      <c r="U121" s="363">
        <v>2686</v>
      </c>
      <c r="V121" s="363">
        <v>0</v>
      </c>
      <c r="W121" s="363">
        <v>0</v>
      </c>
      <c r="X121" s="363">
        <v>-546</v>
      </c>
      <c r="Y121" s="363">
        <v>59</v>
      </c>
      <c r="Z121" s="363">
        <v>0</v>
      </c>
      <c r="AA121" s="363">
        <v>0</v>
      </c>
      <c r="AB121" s="363">
        <v>-487</v>
      </c>
      <c r="AC121" s="428"/>
      <c r="AD121" s="363">
        <v>1113</v>
      </c>
      <c r="AE121" s="428"/>
      <c r="AF121" s="428"/>
      <c r="AG121" s="363">
        <v>-4581</v>
      </c>
      <c r="AH121" s="349"/>
      <c r="AI121" s="428"/>
      <c r="AJ121" s="363">
        <v>29</v>
      </c>
      <c r="AK121" s="428"/>
      <c r="AL121" s="363">
        <v>30231</v>
      </c>
      <c r="AM121" s="428"/>
      <c r="AN121" s="349"/>
      <c r="AO121" s="508">
        <v>9358</v>
      </c>
      <c r="AP121" s="478">
        <v>21.25</v>
      </c>
      <c r="AQ121" s="429"/>
      <c r="AR121" s="428"/>
      <c r="AS121" s="509">
        <v>7473</v>
      </c>
      <c r="AT121" s="349">
        <v>68462</v>
      </c>
      <c r="AU121" s="481">
        <v>-60989</v>
      </c>
      <c r="AV121" s="510">
        <v>26879</v>
      </c>
      <c r="AW121" s="510">
        <v>1897</v>
      </c>
      <c r="AX121" s="510">
        <v>2055</v>
      </c>
      <c r="AY121" s="510">
        <v>30831</v>
      </c>
      <c r="AZ121" s="510">
        <v>33641</v>
      </c>
      <c r="BA121" s="510">
        <v>448</v>
      </c>
      <c r="BB121" s="510">
        <v>254</v>
      </c>
      <c r="BC121" s="510">
        <v>882</v>
      </c>
      <c r="BD121" s="510">
        <v>11</v>
      </c>
      <c r="BE121" s="510">
        <v>4548</v>
      </c>
      <c r="BF121" s="428"/>
      <c r="BG121" s="510">
        <v>2679</v>
      </c>
      <c r="BH121" s="510">
        <v>0</v>
      </c>
      <c r="BI121" s="510">
        <v>0</v>
      </c>
      <c r="BJ121" s="510">
        <v>1869</v>
      </c>
      <c r="BK121" s="510">
        <v>59</v>
      </c>
      <c r="BL121" s="510">
        <v>0</v>
      </c>
      <c r="BM121" s="510">
        <v>0</v>
      </c>
      <c r="BN121" s="510">
        <v>1928</v>
      </c>
      <c r="BO121" s="428"/>
      <c r="BP121" s="510">
        <v>3041</v>
      </c>
      <c r="BQ121" s="428"/>
      <c r="BR121" s="428"/>
      <c r="BS121" s="428"/>
      <c r="BT121" s="428"/>
      <c r="BU121" s="428"/>
      <c r="BV121" s="510">
        <v>2043</v>
      </c>
      <c r="BW121" s="428"/>
      <c r="BX121" s="510">
        <v>33935</v>
      </c>
      <c r="BY121" s="428"/>
      <c r="BZ121" s="349"/>
      <c r="CA121" s="428"/>
      <c r="CB121" s="430"/>
      <c r="CC121" s="431">
        <v>21.25</v>
      </c>
      <c r="CD121" s="378"/>
      <c r="CE121" s="431"/>
      <c r="CF121" s="428"/>
      <c r="CG121" s="349"/>
      <c r="CH121" s="428"/>
      <c r="CI121" s="428">
        <v>27251</v>
      </c>
      <c r="CJ121" s="428">
        <v>0</v>
      </c>
      <c r="CK121" s="492">
        <v>32243.05832050872</v>
      </c>
      <c r="CL121" s="495">
        <v>32924.102285088244</v>
      </c>
      <c r="CM121" s="481">
        <v>8641.7415874492945</v>
      </c>
      <c r="CN121" s="475">
        <v>8490.3941102870176</v>
      </c>
      <c r="CO121" s="475">
        <v>8423.1076059851548</v>
      </c>
      <c r="CP121" s="433">
        <f t="shared" si="1"/>
        <v>-2459.0583205087205</v>
      </c>
      <c r="CQ121" s="428"/>
      <c r="CR121" s="481">
        <v>71</v>
      </c>
      <c r="CS121" s="481">
        <v>-7483</v>
      </c>
      <c r="CT121" s="510">
        <v>217</v>
      </c>
      <c r="CU121" s="510">
        <v>42</v>
      </c>
      <c r="CV121" s="485">
        <v>-11</v>
      </c>
      <c r="CW121" s="357"/>
      <c r="CX121" s="347"/>
      <c r="CY121" s="475"/>
      <c r="CZ121" s="394"/>
      <c r="DA121" s="394"/>
      <c r="DB121" s="394"/>
      <c r="DC121" s="347"/>
      <c r="DD121" s="394"/>
      <c r="DE121" s="394"/>
      <c r="DF121" s="394"/>
      <c r="DG121" s="394"/>
      <c r="DH121" s="394"/>
    </row>
    <row r="122" spans="1:112" x14ac:dyDescent="0.25">
      <c r="A122" s="179">
        <v>403</v>
      </c>
      <c r="B122" s="181" t="s">
        <v>153</v>
      </c>
      <c r="C122" s="373">
        <v>2996</v>
      </c>
      <c r="D122" s="360">
        <v>21.5</v>
      </c>
      <c r="E122" s="213"/>
      <c r="G122" s="363">
        <v>2554</v>
      </c>
      <c r="H122" s="363">
        <v>22839</v>
      </c>
      <c r="I122" s="349"/>
      <c r="J122" s="363">
        <v>8040</v>
      </c>
      <c r="K122" s="363">
        <v>656</v>
      </c>
      <c r="L122" s="363">
        <v>997</v>
      </c>
      <c r="M122" s="363">
        <v>9693</v>
      </c>
      <c r="N122" s="363">
        <v>11071</v>
      </c>
      <c r="O122" s="363">
        <v>2</v>
      </c>
      <c r="P122" s="363">
        <v>19</v>
      </c>
      <c r="Q122" s="363">
        <v>15</v>
      </c>
      <c r="R122" s="363">
        <v>1</v>
      </c>
      <c r="S122" s="363">
        <v>476</v>
      </c>
      <c r="U122" s="363">
        <v>906</v>
      </c>
      <c r="V122" s="363">
        <v>0</v>
      </c>
      <c r="W122" s="363">
        <v>0</v>
      </c>
      <c r="X122" s="363">
        <v>-430</v>
      </c>
      <c r="Y122" s="363">
        <v>27</v>
      </c>
      <c r="Z122" s="363">
        <v>0</v>
      </c>
      <c r="AA122" s="363">
        <v>0</v>
      </c>
      <c r="AB122" s="363">
        <v>-403</v>
      </c>
      <c r="AD122" s="363">
        <v>894</v>
      </c>
      <c r="AG122" s="363">
        <v>-2398</v>
      </c>
      <c r="AH122" s="349"/>
      <c r="AJ122" s="363">
        <v>231</v>
      </c>
      <c r="AL122" s="363">
        <v>7400</v>
      </c>
      <c r="AN122" s="349"/>
      <c r="AO122" s="454">
        <v>2925</v>
      </c>
      <c r="AP122" s="478">
        <v>21.5</v>
      </c>
      <c r="AQ122" s="213"/>
      <c r="AS122" s="509">
        <v>2393</v>
      </c>
      <c r="AT122" s="349">
        <v>22944</v>
      </c>
      <c r="AU122" s="480">
        <v>-20551</v>
      </c>
      <c r="AV122" s="199">
        <v>8124</v>
      </c>
      <c r="AW122" s="199">
        <v>648</v>
      </c>
      <c r="AX122" s="199">
        <v>703</v>
      </c>
      <c r="AY122" s="199">
        <v>9475</v>
      </c>
      <c r="AZ122" s="199">
        <v>12232</v>
      </c>
      <c r="BA122" s="181">
        <v>13</v>
      </c>
      <c r="BB122" s="511">
        <v>26</v>
      </c>
      <c r="BC122" s="181">
        <v>15</v>
      </c>
      <c r="BD122" s="181">
        <v>4</v>
      </c>
      <c r="BE122" s="199">
        <v>1154</v>
      </c>
      <c r="BG122" s="183">
        <v>921</v>
      </c>
      <c r="BH122" s="183">
        <v>0</v>
      </c>
      <c r="BI122" s="183">
        <v>0</v>
      </c>
      <c r="BJ122" s="199">
        <v>233</v>
      </c>
      <c r="BK122" s="183">
        <v>27</v>
      </c>
      <c r="BL122" s="183">
        <v>0</v>
      </c>
      <c r="BM122" s="183">
        <v>0</v>
      </c>
      <c r="BN122" s="199">
        <v>260</v>
      </c>
      <c r="BP122" s="199">
        <v>1154</v>
      </c>
      <c r="BS122" s="211"/>
      <c r="BV122" s="514">
        <v>1246</v>
      </c>
      <c r="BX122" s="181">
        <v>12475</v>
      </c>
      <c r="BZ122" s="349"/>
      <c r="CB122" s="340"/>
      <c r="CC122" s="488">
        <v>21.5</v>
      </c>
      <c r="CD122" s="378"/>
      <c r="CE122" s="378"/>
      <c r="CF122" s="195"/>
      <c r="CG122" s="349"/>
      <c r="CH122" s="347"/>
      <c r="CI122" s="181">
        <v>8898</v>
      </c>
      <c r="CJ122" s="183">
        <v>0</v>
      </c>
      <c r="CK122" s="421">
        <v>11664.530854803925</v>
      </c>
      <c r="CL122" s="494">
        <v>12396.719063542851</v>
      </c>
      <c r="CM122" s="483">
        <v>3530.6633597399127</v>
      </c>
      <c r="CN122" s="483">
        <v>3494.7048423885108</v>
      </c>
      <c r="CO122" s="483">
        <v>3269.6851756179331</v>
      </c>
      <c r="CP122" s="433">
        <f t="shared" si="1"/>
        <v>-593.53085480392474</v>
      </c>
      <c r="CQ122" s="212"/>
      <c r="CR122" s="212">
        <v>-9</v>
      </c>
      <c r="CS122" s="212">
        <v>-5940</v>
      </c>
      <c r="CT122" s="183">
        <v>302</v>
      </c>
      <c r="CU122" s="183">
        <v>9</v>
      </c>
      <c r="CV122" s="485">
        <v>-160</v>
      </c>
      <c r="CX122" s="422"/>
      <c r="CY122" s="475"/>
      <c r="CZ122" s="450"/>
      <c r="DA122" s="394"/>
      <c r="DB122" s="394"/>
      <c r="DC122" s="347"/>
      <c r="DD122" s="394"/>
      <c r="DE122" s="394"/>
      <c r="DF122" s="394"/>
      <c r="DG122" s="394"/>
      <c r="DH122" s="394"/>
    </row>
    <row r="123" spans="1:112" x14ac:dyDescent="0.25">
      <c r="A123" s="352">
        <v>405</v>
      </c>
      <c r="B123" s="349" t="s">
        <v>154</v>
      </c>
      <c r="C123" s="373">
        <v>72634</v>
      </c>
      <c r="D123" s="360">
        <v>21</v>
      </c>
      <c r="E123" s="429"/>
      <c r="F123" s="349"/>
      <c r="G123" s="363">
        <v>46927</v>
      </c>
      <c r="H123" s="363">
        <v>436615</v>
      </c>
      <c r="I123" s="349"/>
      <c r="J123" s="363">
        <v>247955</v>
      </c>
      <c r="K123" s="363">
        <v>21726</v>
      </c>
      <c r="L123" s="363">
        <v>25877</v>
      </c>
      <c r="M123" s="363">
        <v>295558</v>
      </c>
      <c r="N123" s="363">
        <v>109860</v>
      </c>
      <c r="O123" s="363">
        <v>7520</v>
      </c>
      <c r="P123" s="363">
        <v>2246</v>
      </c>
      <c r="Q123" s="363">
        <v>5465</v>
      </c>
      <c r="R123" s="363">
        <v>25</v>
      </c>
      <c r="S123" s="363">
        <v>26444</v>
      </c>
      <c r="T123" s="349"/>
      <c r="U123" s="363">
        <v>26247</v>
      </c>
      <c r="V123" s="363">
        <v>0</v>
      </c>
      <c r="W123" s="363">
        <v>0</v>
      </c>
      <c r="X123" s="363">
        <v>197</v>
      </c>
      <c r="Y123" s="363">
        <v>119</v>
      </c>
      <c r="Z123" s="363">
        <v>33</v>
      </c>
      <c r="AA123" s="363">
        <v>0</v>
      </c>
      <c r="AB123" s="363">
        <v>349</v>
      </c>
      <c r="AC123" s="349"/>
      <c r="AD123" s="363">
        <v>59557</v>
      </c>
      <c r="AE123" s="349"/>
      <c r="AF123" s="349"/>
      <c r="AG123" s="363">
        <v>-34837</v>
      </c>
      <c r="AH123" s="349"/>
      <c r="AI123" s="349"/>
      <c r="AJ123" s="363">
        <v>44105</v>
      </c>
      <c r="AK123" s="349"/>
      <c r="AL123" s="363">
        <v>227324</v>
      </c>
      <c r="AM123" s="349"/>
      <c r="AN123" s="349"/>
      <c r="AO123" s="462">
        <v>72662</v>
      </c>
      <c r="AP123" s="478">
        <v>21</v>
      </c>
      <c r="AQ123" s="429"/>
      <c r="AR123" s="349"/>
      <c r="AS123" s="509">
        <v>40479</v>
      </c>
      <c r="AT123" s="349">
        <v>463144</v>
      </c>
      <c r="AU123" s="363">
        <v>-422665</v>
      </c>
      <c r="AV123" s="349">
        <v>255268</v>
      </c>
      <c r="AW123" s="349">
        <v>25511</v>
      </c>
      <c r="AX123" s="349">
        <v>24418</v>
      </c>
      <c r="AY123" s="349">
        <v>305197</v>
      </c>
      <c r="AZ123" s="349">
        <v>144505</v>
      </c>
      <c r="BA123" s="349">
        <v>7513</v>
      </c>
      <c r="BB123" s="349">
        <v>2278</v>
      </c>
      <c r="BC123" s="349">
        <v>4595</v>
      </c>
      <c r="BD123" s="349">
        <v>566</v>
      </c>
      <c r="BE123" s="349">
        <v>36301</v>
      </c>
      <c r="BF123" s="349"/>
      <c r="BG123" s="349">
        <v>30939</v>
      </c>
      <c r="BH123" s="349">
        <v>0</v>
      </c>
      <c r="BI123" s="349">
        <v>0</v>
      </c>
      <c r="BJ123" s="349">
        <v>5362</v>
      </c>
      <c r="BK123" s="349">
        <v>161</v>
      </c>
      <c r="BL123" s="349">
        <v>168</v>
      </c>
      <c r="BM123" s="349">
        <v>0</v>
      </c>
      <c r="BN123" s="349">
        <v>5691</v>
      </c>
      <c r="BO123" s="349"/>
      <c r="BP123" s="349">
        <v>65248</v>
      </c>
      <c r="BQ123" s="349"/>
      <c r="BR123" s="349"/>
      <c r="BS123" s="349"/>
      <c r="BT123" s="349"/>
      <c r="BU123" s="349"/>
      <c r="BV123" s="349">
        <v>56865</v>
      </c>
      <c r="BW123" s="349"/>
      <c r="BX123" s="349">
        <v>227993</v>
      </c>
      <c r="BY123" s="349"/>
      <c r="BZ123" s="349"/>
      <c r="CA123" s="349"/>
      <c r="CC123" s="488">
        <v>21</v>
      </c>
      <c r="CD123" s="378"/>
      <c r="CE123" s="378"/>
      <c r="CF123" s="349"/>
      <c r="CG123" s="349"/>
      <c r="CH123" s="349"/>
      <c r="CI123" s="349">
        <v>90361</v>
      </c>
      <c r="CJ123" s="349">
        <v>0</v>
      </c>
      <c r="CK123" s="491">
        <v>129989.85742943853</v>
      </c>
      <c r="CL123" s="494">
        <v>136020.6091015634</v>
      </c>
      <c r="CM123" s="475">
        <v>7265.8337625761205</v>
      </c>
      <c r="CN123" s="475">
        <v>9555.2953942960048</v>
      </c>
      <c r="CO123" s="475">
        <v>11789.604666925476</v>
      </c>
      <c r="CP123" s="433">
        <f t="shared" si="1"/>
        <v>-20129.857429438533</v>
      </c>
      <c r="CQ123" s="363"/>
      <c r="CR123" s="363">
        <v>14863</v>
      </c>
      <c r="CS123" s="363">
        <v>-44198</v>
      </c>
      <c r="CT123" s="347">
        <v>1556</v>
      </c>
      <c r="CU123" s="347">
        <v>1999</v>
      </c>
      <c r="CV123" s="485">
        <v>-48</v>
      </c>
      <c r="CW123" s="357"/>
      <c r="CX123" s="347"/>
      <c r="CY123" s="475"/>
      <c r="CZ123" s="394"/>
      <c r="DA123" s="394"/>
      <c r="DB123" s="394"/>
      <c r="DC123" s="347"/>
      <c r="DD123" s="394"/>
      <c r="DE123" s="394"/>
      <c r="DF123" s="394"/>
      <c r="DG123" s="394"/>
      <c r="DH123" s="394"/>
    </row>
    <row r="124" spans="1:112" x14ac:dyDescent="0.25">
      <c r="A124" s="179">
        <v>408</v>
      </c>
      <c r="B124" s="181" t="s">
        <v>155</v>
      </c>
      <c r="C124" s="373">
        <v>14278</v>
      </c>
      <c r="D124" s="360">
        <v>21.5</v>
      </c>
      <c r="E124" s="213"/>
      <c r="G124" s="363">
        <v>12952</v>
      </c>
      <c r="H124" s="363">
        <v>95772</v>
      </c>
      <c r="I124" s="349"/>
      <c r="J124" s="363">
        <v>44615</v>
      </c>
      <c r="K124" s="363">
        <v>2326</v>
      </c>
      <c r="L124" s="363">
        <v>2931</v>
      </c>
      <c r="M124" s="363">
        <v>49872</v>
      </c>
      <c r="N124" s="363">
        <v>36810</v>
      </c>
      <c r="O124" s="363">
        <v>33</v>
      </c>
      <c r="P124" s="363">
        <v>411</v>
      </c>
      <c r="Q124" s="363">
        <v>306</v>
      </c>
      <c r="R124" s="363">
        <v>21</v>
      </c>
      <c r="S124" s="363">
        <v>3769</v>
      </c>
      <c r="U124" s="363">
        <v>5386</v>
      </c>
      <c r="V124" s="363">
        <v>0</v>
      </c>
      <c r="W124" s="363">
        <v>0</v>
      </c>
      <c r="X124" s="363">
        <v>-1617</v>
      </c>
      <c r="Y124" s="363">
        <v>0</v>
      </c>
      <c r="Z124" s="363">
        <v>0</v>
      </c>
      <c r="AA124" s="363">
        <v>0</v>
      </c>
      <c r="AB124" s="363">
        <v>-1617</v>
      </c>
      <c r="AD124" s="363">
        <v>15074</v>
      </c>
      <c r="AG124" s="363">
        <v>-17059</v>
      </c>
      <c r="AH124" s="349"/>
      <c r="AJ124" s="363">
        <v>8358</v>
      </c>
      <c r="AL124" s="363">
        <v>67858</v>
      </c>
      <c r="AN124" s="349"/>
      <c r="AO124" s="454">
        <v>14221</v>
      </c>
      <c r="AP124" s="478">
        <v>21.5</v>
      </c>
      <c r="AQ124" s="213"/>
      <c r="AS124" s="509">
        <v>12140</v>
      </c>
      <c r="AT124" s="349">
        <v>95984</v>
      </c>
      <c r="AU124" s="480">
        <v>-83844</v>
      </c>
      <c r="AV124" s="199">
        <v>45582</v>
      </c>
      <c r="AW124" s="199">
        <v>2323</v>
      </c>
      <c r="AX124" s="199">
        <v>2774</v>
      </c>
      <c r="AY124" s="199">
        <v>50679</v>
      </c>
      <c r="AZ124" s="199">
        <v>42767</v>
      </c>
      <c r="BA124" s="181">
        <v>54</v>
      </c>
      <c r="BB124" s="511">
        <v>429</v>
      </c>
      <c r="BC124" s="181">
        <v>199</v>
      </c>
      <c r="BD124" s="181">
        <v>81</v>
      </c>
      <c r="BE124" s="199">
        <v>9345</v>
      </c>
      <c r="BG124" s="183">
        <v>6134</v>
      </c>
      <c r="BH124" s="183">
        <v>0</v>
      </c>
      <c r="BI124" s="183">
        <v>0</v>
      </c>
      <c r="BJ124" s="199">
        <v>3211</v>
      </c>
      <c r="BK124" s="183">
        <v>0</v>
      </c>
      <c r="BL124" s="183">
        <v>0</v>
      </c>
      <c r="BM124" s="183">
        <v>0</v>
      </c>
      <c r="BN124" s="199">
        <v>3211</v>
      </c>
      <c r="BP124" s="199">
        <v>19485</v>
      </c>
      <c r="BS124" s="211"/>
      <c r="BV124" s="514">
        <v>6263</v>
      </c>
      <c r="BX124" s="181">
        <v>70776</v>
      </c>
      <c r="BZ124" s="349"/>
      <c r="CB124" s="340"/>
      <c r="CC124" s="488">
        <v>21.5</v>
      </c>
      <c r="CD124" s="378"/>
      <c r="CE124" s="378"/>
      <c r="CF124" s="195"/>
      <c r="CG124" s="349"/>
      <c r="CI124" s="181">
        <v>30856</v>
      </c>
      <c r="CJ124" s="183">
        <v>0</v>
      </c>
      <c r="CK124" s="421">
        <v>41219.078843197341</v>
      </c>
      <c r="CL124" s="494">
        <v>42027.403407096652</v>
      </c>
      <c r="CM124" s="483">
        <v>16216.097707292871</v>
      </c>
      <c r="CN124" s="483">
        <v>15832.077314274889</v>
      </c>
      <c r="CO124" s="483">
        <v>15468.533277153452</v>
      </c>
      <c r="CP124" s="433">
        <f t="shared" si="1"/>
        <v>-4409.0788431973415</v>
      </c>
      <c r="CQ124" s="212"/>
      <c r="CR124" s="212">
        <v>-70</v>
      </c>
      <c r="CS124" s="212">
        <v>-16111</v>
      </c>
      <c r="CT124" s="183">
        <v>96</v>
      </c>
      <c r="CU124" s="183">
        <v>2762</v>
      </c>
      <c r="CV124" s="485">
        <v>1335</v>
      </c>
      <c r="CX124" s="422"/>
      <c r="CY124" s="475"/>
      <c r="CZ124" s="450"/>
      <c r="DA124" s="394"/>
      <c r="DB124" s="394"/>
      <c r="DC124" s="347"/>
      <c r="DD124" s="394"/>
      <c r="DE124" s="394"/>
      <c r="DF124" s="394"/>
      <c r="DG124" s="394"/>
      <c r="DH124" s="394"/>
    </row>
    <row r="125" spans="1:112" x14ac:dyDescent="0.25">
      <c r="A125" s="179">
        <v>410</v>
      </c>
      <c r="B125" s="181" t="s">
        <v>156</v>
      </c>
      <c r="C125" s="373">
        <v>18903</v>
      </c>
      <c r="D125" s="360">
        <v>21.5</v>
      </c>
      <c r="E125" s="213"/>
      <c r="G125" s="363">
        <v>13474</v>
      </c>
      <c r="H125" s="363">
        <v>116749</v>
      </c>
      <c r="I125" s="349"/>
      <c r="J125" s="363">
        <v>60024</v>
      </c>
      <c r="K125" s="363">
        <v>2696</v>
      </c>
      <c r="L125" s="363">
        <v>4860</v>
      </c>
      <c r="M125" s="363">
        <v>67580</v>
      </c>
      <c r="N125" s="363">
        <v>38055</v>
      </c>
      <c r="O125" s="363">
        <v>506</v>
      </c>
      <c r="P125" s="363">
        <v>15</v>
      </c>
      <c r="Q125" s="363">
        <v>311</v>
      </c>
      <c r="R125" s="363">
        <v>2</v>
      </c>
      <c r="S125" s="363">
        <v>3160</v>
      </c>
      <c r="U125" s="363">
        <v>7108</v>
      </c>
      <c r="V125" s="363">
        <v>0</v>
      </c>
      <c r="W125" s="363">
        <v>0</v>
      </c>
      <c r="X125" s="363">
        <v>-3948</v>
      </c>
      <c r="Y125" s="363">
        <v>0</v>
      </c>
      <c r="Z125" s="363">
        <v>0</v>
      </c>
      <c r="AA125" s="363">
        <v>0</v>
      </c>
      <c r="AB125" s="363">
        <v>-3948</v>
      </c>
      <c r="AD125" s="363">
        <v>993</v>
      </c>
      <c r="AG125" s="363">
        <v>-5035</v>
      </c>
      <c r="AH125" s="349"/>
      <c r="AJ125" s="363">
        <v>5143</v>
      </c>
      <c r="AL125" s="363">
        <v>98080</v>
      </c>
      <c r="AN125" s="349"/>
      <c r="AO125" s="454">
        <v>18823</v>
      </c>
      <c r="AP125" s="478">
        <v>21.5</v>
      </c>
      <c r="AQ125" s="213"/>
      <c r="AS125" s="509">
        <v>13169</v>
      </c>
      <c r="AT125" s="349">
        <v>119166</v>
      </c>
      <c r="AU125" s="480">
        <v>-105997</v>
      </c>
      <c r="AV125" s="199">
        <v>63721</v>
      </c>
      <c r="AW125" s="199">
        <v>2857</v>
      </c>
      <c r="AX125" s="199">
        <v>5178</v>
      </c>
      <c r="AY125" s="199">
        <v>71756</v>
      </c>
      <c r="AZ125" s="199">
        <v>46488</v>
      </c>
      <c r="BA125" s="181">
        <v>455</v>
      </c>
      <c r="BB125" s="511">
        <v>174</v>
      </c>
      <c r="BC125" s="181">
        <v>277</v>
      </c>
      <c r="BD125" s="181">
        <v>2</v>
      </c>
      <c r="BE125" s="199">
        <v>12803</v>
      </c>
      <c r="BG125" s="183">
        <v>8705</v>
      </c>
      <c r="BH125" s="183">
        <v>0</v>
      </c>
      <c r="BI125" s="183">
        <v>0</v>
      </c>
      <c r="BJ125" s="199">
        <v>4098</v>
      </c>
      <c r="BK125" s="183">
        <v>0</v>
      </c>
      <c r="BL125" s="183">
        <v>0</v>
      </c>
      <c r="BM125" s="199">
        <v>0</v>
      </c>
      <c r="BN125" s="199">
        <v>4098</v>
      </c>
      <c r="BP125" s="199">
        <v>5091</v>
      </c>
      <c r="BS125" s="211"/>
      <c r="BV125" s="514">
        <v>1449</v>
      </c>
      <c r="BX125" s="181">
        <v>94067</v>
      </c>
      <c r="BZ125" s="349"/>
      <c r="CB125" s="340"/>
      <c r="CC125" s="488">
        <v>21.5</v>
      </c>
      <c r="CD125" s="378"/>
      <c r="CE125" s="378"/>
      <c r="CF125" s="195"/>
      <c r="CG125" s="349"/>
      <c r="CI125" s="181">
        <v>29357</v>
      </c>
      <c r="CJ125" s="183">
        <v>0</v>
      </c>
      <c r="CK125" s="421">
        <v>42737.469578485994</v>
      </c>
      <c r="CL125" s="494">
        <v>44968.788441068762</v>
      </c>
      <c r="CM125" s="483">
        <v>21060.043614940805</v>
      </c>
      <c r="CN125" s="483">
        <v>21087.456395157158</v>
      </c>
      <c r="CO125" s="483">
        <v>21536.418218493382</v>
      </c>
      <c r="CP125" s="433">
        <f t="shared" si="1"/>
        <v>-4682.4695784859941</v>
      </c>
      <c r="CQ125" s="212"/>
      <c r="CR125" s="212">
        <v>305</v>
      </c>
      <c r="CS125" s="212">
        <v>-16447</v>
      </c>
      <c r="CT125" s="183">
        <v>674</v>
      </c>
      <c r="CU125" s="183">
        <v>1500</v>
      </c>
      <c r="CV125" s="485">
        <v>772</v>
      </c>
      <c r="CX125" s="422"/>
      <c r="CY125" s="475"/>
      <c r="CZ125" s="450"/>
      <c r="DA125" s="394"/>
      <c r="DB125" s="394"/>
      <c r="DC125" s="347"/>
      <c r="DD125" s="394"/>
      <c r="DE125" s="394"/>
      <c r="DF125" s="394"/>
      <c r="DG125" s="394"/>
      <c r="DH125" s="394"/>
    </row>
    <row r="126" spans="1:112" x14ac:dyDescent="0.25">
      <c r="A126" s="179">
        <v>416</v>
      </c>
      <c r="B126" s="181" t="s">
        <v>157</v>
      </c>
      <c r="C126" s="373">
        <v>2971</v>
      </c>
      <c r="D126" s="360">
        <v>21</v>
      </c>
      <c r="E126" s="213"/>
      <c r="G126" s="363">
        <v>1775</v>
      </c>
      <c r="H126" s="363">
        <v>18836</v>
      </c>
      <c r="I126" s="349"/>
      <c r="J126" s="363">
        <v>9048</v>
      </c>
      <c r="K126" s="363">
        <v>401</v>
      </c>
      <c r="L126" s="363">
        <v>841</v>
      </c>
      <c r="M126" s="363">
        <v>10290</v>
      </c>
      <c r="N126" s="363">
        <v>6728</v>
      </c>
      <c r="O126" s="363">
        <v>3</v>
      </c>
      <c r="P126" s="363">
        <v>83</v>
      </c>
      <c r="Q126" s="363">
        <v>22</v>
      </c>
      <c r="R126" s="363">
        <v>2</v>
      </c>
      <c r="S126" s="363">
        <v>-103</v>
      </c>
      <c r="U126" s="363">
        <v>579</v>
      </c>
      <c r="V126" s="363">
        <v>0</v>
      </c>
      <c r="W126" s="363">
        <v>0</v>
      </c>
      <c r="X126" s="363">
        <v>-682</v>
      </c>
      <c r="Y126" s="363">
        <v>0</v>
      </c>
      <c r="Z126" s="363">
        <v>0</v>
      </c>
      <c r="AA126" s="363">
        <v>0</v>
      </c>
      <c r="AB126" s="363">
        <v>-682</v>
      </c>
      <c r="AD126" s="363">
        <v>-2887</v>
      </c>
      <c r="AG126" s="363">
        <v>-207</v>
      </c>
      <c r="AH126" s="349"/>
      <c r="AJ126" s="363">
        <v>58</v>
      </c>
      <c r="AL126" s="363">
        <v>7599</v>
      </c>
      <c r="AN126" s="349"/>
      <c r="AO126" s="454">
        <v>2964</v>
      </c>
      <c r="AP126" s="478">
        <v>22</v>
      </c>
      <c r="AQ126" s="213"/>
      <c r="AS126" s="509">
        <v>1726</v>
      </c>
      <c r="AT126" s="349">
        <v>19154</v>
      </c>
      <c r="AU126" s="480">
        <v>-17428</v>
      </c>
      <c r="AV126" s="199">
        <v>9537</v>
      </c>
      <c r="AW126" s="199">
        <v>458</v>
      </c>
      <c r="AX126" s="199">
        <v>843</v>
      </c>
      <c r="AY126" s="199">
        <v>10838</v>
      </c>
      <c r="AZ126" s="199">
        <v>7920</v>
      </c>
      <c r="BA126" s="181">
        <v>4</v>
      </c>
      <c r="BB126" s="511">
        <v>87</v>
      </c>
      <c r="BC126" s="181">
        <v>18</v>
      </c>
      <c r="BD126" s="181">
        <v>1</v>
      </c>
      <c r="BE126" s="199">
        <v>1264</v>
      </c>
      <c r="BG126" s="183">
        <v>570</v>
      </c>
      <c r="BH126" s="183">
        <v>0</v>
      </c>
      <c r="BI126" s="183">
        <v>0</v>
      </c>
      <c r="BJ126" s="199">
        <v>694</v>
      </c>
      <c r="BK126" s="183">
        <v>0</v>
      </c>
      <c r="BL126" s="183">
        <v>0</v>
      </c>
      <c r="BM126" s="183">
        <v>0</v>
      </c>
      <c r="BN126" s="199">
        <v>694</v>
      </c>
      <c r="BP126" s="199">
        <v>-2194</v>
      </c>
      <c r="BS126" s="211"/>
      <c r="BV126" s="514">
        <v>771</v>
      </c>
      <c r="BX126" s="181">
        <v>6543</v>
      </c>
      <c r="BZ126" s="349"/>
      <c r="CB126" s="340"/>
      <c r="CC126" s="488">
        <v>22</v>
      </c>
      <c r="CD126" s="378"/>
      <c r="CE126" s="378"/>
      <c r="CF126" s="195"/>
      <c r="CG126" s="349"/>
      <c r="CI126" s="181">
        <v>5553</v>
      </c>
      <c r="CJ126" s="183">
        <v>0</v>
      </c>
      <c r="CK126" s="421">
        <v>6647.857976706252</v>
      </c>
      <c r="CL126" s="494">
        <v>6874.1418662752094</v>
      </c>
      <c r="CM126" s="483">
        <v>1169.4663839400989</v>
      </c>
      <c r="CN126" s="483">
        <v>1331.7567288563271</v>
      </c>
      <c r="CO126" s="483">
        <v>1278.7623047632999</v>
      </c>
      <c r="CP126" s="433">
        <f t="shared" si="1"/>
        <v>80.142023293748025</v>
      </c>
      <c r="CQ126" s="212"/>
      <c r="CR126" s="212">
        <v>400</v>
      </c>
      <c r="CS126" s="212">
        <v>-406</v>
      </c>
      <c r="CT126" s="183">
        <v>14</v>
      </c>
      <c r="CU126" s="183">
        <v>309</v>
      </c>
      <c r="CV126" s="485">
        <v>0</v>
      </c>
      <c r="CX126" s="422"/>
      <c r="CY126" s="475"/>
      <c r="CZ126" s="450"/>
      <c r="DA126" s="394"/>
      <c r="DB126" s="394"/>
      <c r="DC126" s="347"/>
      <c r="DD126" s="394"/>
      <c r="DE126" s="394"/>
      <c r="DF126" s="394"/>
      <c r="DG126" s="394"/>
      <c r="DH126" s="394"/>
    </row>
    <row r="127" spans="1:112" x14ac:dyDescent="0.25">
      <c r="A127" s="179">
        <v>418</v>
      </c>
      <c r="B127" s="181" t="s">
        <v>158</v>
      </c>
      <c r="C127" s="373">
        <v>23523</v>
      </c>
      <c r="D127" s="360">
        <v>20.5</v>
      </c>
      <c r="E127" s="213"/>
      <c r="G127" s="363">
        <v>27699</v>
      </c>
      <c r="H127" s="363">
        <v>140848</v>
      </c>
      <c r="I127" s="349"/>
      <c r="J127" s="363">
        <v>87219</v>
      </c>
      <c r="K127" s="363">
        <v>4091</v>
      </c>
      <c r="L127" s="363">
        <v>5869</v>
      </c>
      <c r="M127" s="363">
        <v>97179</v>
      </c>
      <c r="N127" s="363">
        <v>23652</v>
      </c>
      <c r="O127" s="363">
        <v>7</v>
      </c>
      <c r="P127" s="363">
        <v>333</v>
      </c>
      <c r="Q127" s="363">
        <v>716</v>
      </c>
      <c r="R127" s="363">
        <v>10</v>
      </c>
      <c r="S127" s="363">
        <v>8062</v>
      </c>
      <c r="U127" s="363">
        <v>10828</v>
      </c>
      <c r="V127" s="363">
        <v>25640</v>
      </c>
      <c r="W127" s="363">
        <v>0</v>
      </c>
      <c r="X127" s="363">
        <v>22874</v>
      </c>
      <c r="Y127" s="363">
        <v>-469</v>
      </c>
      <c r="Z127" s="363">
        <v>-13818</v>
      </c>
      <c r="AA127" s="363">
        <v>0</v>
      </c>
      <c r="AB127" s="363">
        <v>8587</v>
      </c>
      <c r="AD127" s="363">
        <v>20408</v>
      </c>
      <c r="AG127" s="363">
        <v>21253</v>
      </c>
      <c r="AH127" s="349"/>
      <c r="AJ127" s="363">
        <v>2549</v>
      </c>
      <c r="AL127" s="363">
        <v>86827</v>
      </c>
      <c r="AN127" s="349"/>
      <c r="AO127" s="454">
        <v>23828</v>
      </c>
      <c r="AP127" s="478">
        <v>20.5</v>
      </c>
      <c r="AQ127" s="213"/>
      <c r="AS127" s="509">
        <v>19864</v>
      </c>
      <c r="AT127" s="349">
        <v>141639</v>
      </c>
      <c r="AU127" s="480">
        <v>-121775</v>
      </c>
      <c r="AV127" s="199">
        <v>92572</v>
      </c>
      <c r="AW127" s="199">
        <v>4756</v>
      </c>
      <c r="AX127" s="199">
        <v>5192</v>
      </c>
      <c r="AY127" s="199">
        <v>102520</v>
      </c>
      <c r="AZ127" s="199">
        <v>33512</v>
      </c>
      <c r="BA127" s="181">
        <v>322</v>
      </c>
      <c r="BB127" s="511">
        <v>369</v>
      </c>
      <c r="BC127" s="181">
        <v>690</v>
      </c>
      <c r="BD127" s="181">
        <v>12</v>
      </c>
      <c r="BE127" s="199">
        <v>14888</v>
      </c>
      <c r="BG127" s="183">
        <v>8529</v>
      </c>
      <c r="BH127" s="183">
        <v>0</v>
      </c>
      <c r="BI127" s="183">
        <v>0</v>
      </c>
      <c r="BJ127" s="199">
        <v>6359</v>
      </c>
      <c r="BK127" s="199">
        <v>1273</v>
      </c>
      <c r="BL127" s="183">
        <v>-1006</v>
      </c>
      <c r="BM127" s="183">
        <v>0</v>
      </c>
      <c r="BN127" s="199">
        <v>6626</v>
      </c>
      <c r="BP127" s="199">
        <v>27034</v>
      </c>
      <c r="BS127" s="211"/>
      <c r="BV127" s="514">
        <v>13344</v>
      </c>
      <c r="BX127" s="181">
        <v>90749</v>
      </c>
      <c r="BZ127" s="349"/>
      <c r="CB127" s="343"/>
      <c r="CC127" s="488">
        <v>20.5</v>
      </c>
      <c r="CD127" s="378"/>
      <c r="CE127" s="378"/>
      <c r="CF127" s="195"/>
      <c r="CG127" s="349"/>
      <c r="CI127" s="181">
        <v>21852</v>
      </c>
      <c r="CJ127" s="183">
        <v>0</v>
      </c>
      <c r="CK127" s="421">
        <v>28481.492725818542</v>
      </c>
      <c r="CL127" s="494">
        <v>30024.240824008739</v>
      </c>
      <c r="CM127" s="483">
        <v>22475.826877570395</v>
      </c>
      <c r="CN127" s="483">
        <v>20971.231739137413</v>
      </c>
      <c r="CO127" s="483">
        <v>20706.071293103727</v>
      </c>
      <c r="CP127" s="433">
        <f t="shared" si="1"/>
        <v>-4829.4927258185417</v>
      </c>
      <c r="CQ127" s="212"/>
      <c r="CR127" s="212">
        <v>-2281</v>
      </c>
      <c r="CS127" s="212">
        <v>-15665</v>
      </c>
      <c r="CT127" s="183">
        <v>1138</v>
      </c>
      <c r="CU127" s="183">
        <v>2882</v>
      </c>
      <c r="CV127" s="485">
        <v>0</v>
      </c>
      <c r="CX127" s="422"/>
      <c r="CY127" s="475"/>
      <c r="CZ127" s="450"/>
      <c r="DA127" s="394"/>
      <c r="DB127" s="394"/>
      <c r="DC127" s="347"/>
      <c r="DD127" s="394"/>
      <c r="DE127" s="394"/>
      <c r="DF127" s="394"/>
      <c r="DG127" s="394"/>
      <c r="DH127" s="394"/>
    </row>
    <row r="128" spans="1:112" x14ac:dyDescent="0.25">
      <c r="A128" s="179">
        <v>420</v>
      </c>
      <c r="B128" s="181" t="s">
        <v>159</v>
      </c>
      <c r="C128" s="373">
        <v>9454</v>
      </c>
      <c r="D128" s="360">
        <v>21</v>
      </c>
      <c r="E128" s="213"/>
      <c r="G128" s="363">
        <v>9903</v>
      </c>
      <c r="H128" s="363">
        <v>68705</v>
      </c>
      <c r="I128" s="349"/>
      <c r="J128" s="363">
        <v>29588</v>
      </c>
      <c r="K128" s="363">
        <v>2627</v>
      </c>
      <c r="L128" s="363">
        <v>2574</v>
      </c>
      <c r="M128" s="363">
        <v>34789</v>
      </c>
      <c r="N128" s="363">
        <v>23969</v>
      </c>
      <c r="O128" s="363">
        <v>34</v>
      </c>
      <c r="P128" s="363">
        <v>105</v>
      </c>
      <c r="Q128" s="363">
        <v>797</v>
      </c>
      <c r="R128" s="363">
        <v>47</v>
      </c>
      <c r="S128" s="363">
        <v>635</v>
      </c>
      <c r="U128" s="363">
        <v>3902</v>
      </c>
      <c r="V128" s="363">
        <v>0</v>
      </c>
      <c r="W128" s="363">
        <v>426</v>
      </c>
      <c r="X128" s="363">
        <v>-3693</v>
      </c>
      <c r="Y128" s="363">
        <v>-342</v>
      </c>
      <c r="Z128" s="363">
        <v>580</v>
      </c>
      <c r="AA128" s="363">
        <v>0</v>
      </c>
      <c r="AB128" s="363">
        <v>-3455</v>
      </c>
      <c r="AD128" s="363">
        <v>721</v>
      </c>
      <c r="AG128" s="363">
        <v>-3227</v>
      </c>
      <c r="AH128" s="349"/>
      <c r="AJ128" s="363">
        <v>3182</v>
      </c>
      <c r="AL128" s="363">
        <v>10483</v>
      </c>
      <c r="AN128" s="349"/>
      <c r="AO128" s="454">
        <v>9402</v>
      </c>
      <c r="AP128" s="478">
        <v>21</v>
      </c>
      <c r="AQ128" s="213"/>
      <c r="AS128" s="509">
        <v>9585</v>
      </c>
      <c r="AT128" s="349">
        <v>68119</v>
      </c>
      <c r="AU128" s="480">
        <v>-58534</v>
      </c>
      <c r="AV128" s="199">
        <v>30016</v>
      </c>
      <c r="AW128" s="199">
        <v>3144</v>
      </c>
      <c r="AX128" s="199">
        <v>2340</v>
      </c>
      <c r="AY128" s="199">
        <v>35500</v>
      </c>
      <c r="AZ128" s="199">
        <v>28470</v>
      </c>
      <c r="BA128" s="181">
        <v>38</v>
      </c>
      <c r="BB128" s="511">
        <v>87</v>
      </c>
      <c r="BC128" s="181">
        <v>722</v>
      </c>
      <c r="BD128" s="181">
        <v>6</v>
      </c>
      <c r="BE128" s="199">
        <v>6103</v>
      </c>
      <c r="BG128" s="183">
        <v>4709</v>
      </c>
      <c r="BH128" s="183">
        <v>0</v>
      </c>
      <c r="BI128" s="183">
        <v>0</v>
      </c>
      <c r="BJ128" s="199">
        <v>1394</v>
      </c>
      <c r="BK128" s="199">
        <v>253</v>
      </c>
      <c r="BL128" s="199">
        <v>-1240</v>
      </c>
      <c r="BM128" s="183">
        <v>0</v>
      </c>
      <c r="BN128" s="199">
        <v>407</v>
      </c>
      <c r="BP128" s="199">
        <v>1127</v>
      </c>
      <c r="BS128" s="211"/>
      <c r="BV128" s="514">
        <v>6355</v>
      </c>
      <c r="BX128" s="181">
        <v>10450</v>
      </c>
      <c r="BZ128" s="349"/>
      <c r="CB128" s="340"/>
      <c r="CC128" s="488">
        <v>21</v>
      </c>
      <c r="CD128" s="378"/>
      <c r="CE128" s="378"/>
      <c r="CF128" s="195"/>
      <c r="CG128" s="349"/>
      <c r="CI128" s="181">
        <v>21592</v>
      </c>
      <c r="CJ128" s="183">
        <v>0</v>
      </c>
      <c r="CK128" s="421">
        <v>27488.875473018656</v>
      </c>
      <c r="CL128" s="494">
        <v>27569.376855966857</v>
      </c>
      <c r="CM128" s="483">
        <v>6152.7325059585901</v>
      </c>
      <c r="CN128" s="483">
        <v>5768.1262855968398</v>
      </c>
      <c r="CO128" s="483">
        <v>5453.8342284297778</v>
      </c>
      <c r="CP128" s="433">
        <f t="shared" si="1"/>
        <v>-3519.8754730186556</v>
      </c>
      <c r="CQ128" s="212"/>
      <c r="CR128" s="212">
        <v>-427</v>
      </c>
      <c r="CS128" s="212">
        <v>-2459</v>
      </c>
      <c r="CT128" s="183">
        <v>-6</v>
      </c>
      <c r="CU128" s="183">
        <v>184</v>
      </c>
      <c r="CV128" s="485">
        <v>-450</v>
      </c>
      <c r="CX128" s="422"/>
      <c r="CY128" s="475"/>
      <c r="CZ128" s="450"/>
      <c r="DA128" s="394"/>
      <c r="DB128" s="394"/>
      <c r="DC128" s="347"/>
      <c r="DD128" s="394"/>
      <c r="DE128" s="394"/>
      <c r="DF128" s="394"/>
      <c r="DG128" s="394"/>
      <c r="DH128" s="394"/>
    </row>
    <row r="129" spans="1:112" x14ac:dyDescent="0.25">
      <c r="A129" s="179">
        <v>421</v>
      </c>
      <c r="B129" s="181" t="s">
        <v>160</v>
      </c>
      <c r="C129" s="373">
        <v>719</v>
      </c>
      <c r="D129" s="360">
        <v>21</v>
      </c>
      <c r="E129" s="213"/>
      <c r="G129" s="363">
        <v>2012</v>
      </c>
      <c r="H129" s="363">
        <v>7642</v>
      </c>
      <c r="I129" s="349"/>
      <c r="J129" s="363">
        <v>1728</v>
      </c>
      <c r="K129" s="363">
        <v>381</v>
      </c>
      <c r="L129" s="363">
        <v>272</v>
      </c>
      <c r="M129" s="363">
        <v>2381</v>
      </c>
      <c r="N129" s="363">
        <v>3107</v>
      </c>
      <c r="O129" s="363">
        <v>2</v>
      </c>
      <c r="P129" s="363">
        <v>25</v>
      </c>
      <c r="Q129" s="363">
        <v>0</v>
      </c>
      <c r="R129" s="363">
        <v>1</v>
      </c>
      <c r="S129" s="363">
        <v>-166</v>
      </c>
      <c r="U129" s="363">
        <v>502</v>
      </c>
      <c r="V129" s="363">
        <v>0</v>
      </c>
      <c r="W129" s="363">
        <v>0</v>
      </c>
      <c r="X129" s="363">
        <v>-668</v>
      </c>
      <c r="Y129" s="363">
        <v>0</v>
      </c>
      <c r="Z129" s="363">
        <v>0</v>
      </c>
      <c r="AA129" s="363">
        <v>0</v>
      </c>
      <c r="AB129" s="363">
        <v>-668</v>
      </c>
      <c r="AD129" s="363">
        <v>400</v>
      </c>
      <c r="AG129" s="363">
        <v>-418</v>
      </c>
      <c r="AH129" s="349"/>
      <c r="AJ129" s="363">
        <v>831</v>
      </c>
      <c r="AL129" s="363">
        <v>2662</v>
      </c>
      <c r="AN129" s="349"/>
      <c r="AO129" s="454">
        <v>722</v>
      </c>
      <c r="AP129" s="478">
        <v>21</v>
      </c>
      <c r="AQ129" s="213"/>
      <c r="AS129" s="509">
        <v>2316</v>
      </c>
      <c r="AT129" s="349">
        <v>7879</v>
      </c>
      <c r="AU129" s="480">
        <v>-5563</v>
      </c>
      <c r="AV129" s="199">
        <v>1853</v>
      </c>
      <c r="AW129" s="199">
        <v>443</v>
      </c>
      <c r="AX129" s="199">
        <v>245</v>
      </c>
      <c r="AY129" s="199">
        <v>2541</v>
      </c>
      <c r="AZ129" s="199">
        <v>3222</v>
      </c>
      <c r="BA129" s="181">
        <v>8</v>
      </c>
      <c r="BB129" s="511">
        <v>25</v>
      </c>
      <c r="BC129" s="181">
        <v>2</v>
      </c>
      <c r="BD129" s="181">
        <v>0</v>
      </c>
      <c r="BE129" s="199">
        <v>185</v>
      </c>
      <c r="BG129" s="183">
        <v>329</v>
      </c>
      <c r="BH129" s="199">
        <v>0</v>
      </c>
      <c r="BI129" s="183">
        <v>0</v>
      </c>
      <c r="BJ129" s="199">
        <v>-144</v>
      </c>
      <c r="BK129" s="183">
        <v>0</v>
      </c>
      <c r="BL129" s="183">
        <v>0</v>
      </c>
      <c r="BM129" s="183">
        <v>0</v>
      </c>
      <c r="BN129" s="199">
        <v>-144</v>
      </c>
      <c r="BP129" s="199">
        <v>254</v>
      </c>
      <c r="BS129" s="211"/>
      <c r="BV129" s="514">
        <v>697</v>
      </c>
      <c r="BX129" s="181">
        <v>6436</v>
      </c>
      <c r="BZ129" s="349"/>
      <c r="CB129" s="340"/>
      <c r="CC129" s="488">
        <v>21</v>
      </c>
      <c r="CD129" s="378"/>
      <c r="CE129" s="378"/>
      <c r="CF129" s="195"/>
      <c r="CG129" s="349"/>
      <c r="CI129" s="181">
        <v>2977</v>
      </c>
      <c r="CJ129" s="183">
        <v>130</v>
      </c>
      <c r="CK129" s="421">
        <v>2929.2477460804967</v>
      </c>
      <c r="CL129" s="494">
        <v>2848.2806088874522</v>
      </c>
      <c r="CM129" s="483">
        <v>-109.23304185360388</v>
      </c>
      <c r="CN129" s="483">
        <v>-95.935440020597071</v>
      </c>
      <c r="CO129" s="483">
        <v>-122.1651633749438</v>
      </c>
      <c r="CP129" s="433">
        <f t="shared" si="1"/>
        <v>177.75225391950335</v>
      </c>
      <c r="CQ129" s="212"/>
      <c r="CR129" s="212">
        <v>0</v>
      </c>
      <c r="CS129" s="212">
        <v>-4131</v>
      </c>
      <c r="CT129" s="183">
        <v>0</v>
      </c>
      <c r="CU129" s="183">
        <v>0</v>
      </c>
      <c r="CV129" s="485">
        <v>15</v>
      </c>
      <c r="CX129" s="422"/>
      <c r="CY129" s="475"/>
      <c r="CZ129" s="450"/>
      <c r="DA129" s="394"/>
      <c r="DB129" s="394"/>
      <c r="DC129" s="347"/>
      <c r="DD129" s="394"/>
      <c r="DE129" s="394"/>
      <c r="DF129" s="394"/>
      <c r="DG129" s="394"/>
      <c r="DH129" s="394"/>
    </row>
    <row r="130" spans="1:112" x14ac:dyDescent="0.25">
      <c r="A130" s="179">
        <v>422</v>
      </c>
      <c r="B130" s="181" t="s">
        <v>161</v>
      </c>
      <c r="C130" s="373">
        <v>10884</v>
      </c>
      <c r="D130" s="360">
        <v>21</v>
      </c>
      <c r="E130" s="213"/>
      <c r="G130" s="363">
        <v>12428</v>
      </c>
      <c r="H130" s="363">
        <v>83296</v>
      </c>
      <c r="I130" s="349"/>
      <c r="J130" s="363">
        <v>31086</v>
      </c>
      <c r="K130" s="363">
        <v>4257</v>
      </c>
      <c r="L130" s="363">
        <v>3205</v>
      </c>
      <c r="M130" s="363">
        <v>38548</v>
      </c>
      <c r="N130" s="363">
        <v>37236</v>
      </c>
      <c r="O130" s="363">
        <v>135</v>
      </c>
      <c r="P130" s="363">
        <v>115</v>
      </c>
      <c r="Q130" s="363">
        <v>548</v>
      </c>
      <c r="R130" s="363">
        <v>1</v>
      </c>
      <c r="S130" s="363">
        <v>5483</v>
      </c>
      <c r="U130" s="363">
        <v>4549</v>
      </c>
      <c r="V130" s="363">
        <v>0</v>
      </c>
      <c r="W130" s="363">
        <v>0</v>
      </c>
      <c r="X130" s="363">
        <v>934</v>
      </c>
      <c r="Y130" s="363">
        <v>95</v>
      </c>
      <c r="Z130" s="363">
        <v>0</v>
      </c>
      <c r="AA130" s="363">
        <v>0</v>
      </c>
      <c r="AB130" s="363">
        <v>1029</v>
      </c>
      <c r="AD130" s="363">
        <v>18907</v>
      </c>
      <c r="AG130" s="363">
        <v>-4263</v>
      </c>
      <c r="AH130" s="349"/>
      <c r="AJ130" s="363">
        <v>7168</v>
      </c>
      <c r="AL130" s="363">
        <v>9385</v>
      </c>
      <c r="AN130" s="349"/>
      <c r="AO130" s="454">
        <v>10719</v>
      </c>
      <c r="AP130" s="478">
        <v>21</v>
      </c>
      <c r="AQ130" s="213"/>
      <c r="AS130" s="509">
        <v>17195</v>
      </c>
      <c r="AT130" s="349">
        <v>88277</v>
      </c>
      <c r="AU130" s="480">
        <v>-71082</v>
      </c>
      <c r="AV130" s="199">
        <v>31798</v>
      </c>
      <c r="AW130" s="199">
        <v>4644</v>
      </c>
      <c r="AX130" s="199">
        <v>2987</v>
      </c>
      <c r="AY130" s="199">
        <v>39429</v>
      </c>
      <c r="AZ130" s="199">
        <v>41434</v>
      </c>
      <c r="BA130" s="181">
        <v>142</v>
      </c>
      <c r="BB130" s="511">
        <v>96</v>
      </c>
      <c r="BC130" s="181">
        <v>552</v>
      </c>
      <c r="BD130" s="181">
        <v>1</v>
      </c>
      <c r="BE130" s="199">
        <v>10378</v>
      </c>
      <c r="BG130" s="183">
        <v>5043</v>
      </c>
      <c r="BH130" s="183">
        <v>0</v>
      </c>
      <c r="BI130" s="183">
        <v>0</v>
      </c>
      <c r="BJ130" s="199">
        <v>5335</v>
      </c>
      <c r="BK130" s="183">
        <v>-6897</v>
      </c>
      <c r="BL130" s="183">
        <v>7000</v>
      </c>
      <c r="BM130" s="199">
        <v>0</v>
      </c>
      <c r="BN130" s="199">
        <v>5438</v>
      </c>
      <c r="BP130" s="199">
        <v>23454</v>
      </c>
      <c r="BS130" s="211"/>
      <c r="BV130" s="514">
        <v>8615</v>
      </c>
      <c r="BX130" s="181">
        <v>6893</v>
      </c>
      <c r="BZ130" s="349"/>
      <c r="CB130" s="340"/>
      <c r="CC130" s="488">
        <v>21</v>
      </c>
      <c r="CD130" s="378"/>
      <c r="CE130" s="378"/>
      <c r="CF130" s="195"/>
      <c r="CG130" s="349"/>
      <c r="CI130" s="181">
        <v>34065</v>
      </c>
      <c r="CJ130" s="183">
        <v>0</v>
      </c>
      <c r="CK130" s="421">
        <v>40082.806510073533</v>
      </c>
      <c r="CL130" s="494">
        <v>42623.294942964545</v>
      </c>
      <c r="CM130" s="483">
        <v>7145.3538751598426</v>
      </c>
      <c r="CN130" s="483">
        <v>7221.7452263520681</v>
      </c>
      <c r="CO130" s="483">
        <v>7021.1310768216763</v>
      </c>
      <c r="CP130" s="433">
        <f t="shared" si="1"/>
        <v>-2846.806510073533</v>
      </c>
      <c r="CQ130" s="212"/>
      <c r="CR130" s="212">
        <v>1195</v>
      </c>
      <c r="CS130" s="212">
        <v>-9807</v>
      </c>
      <c r="CT130" s="183">
        <v>0</v>
      </c>
      <c r="CU130" s="183">
        <v>102</v>
      </c>
      <c r="CV130" s="485">
        <v>188</v>
      </c>
      <c r="CX130" s="422"/>
      <c r="CY130" s="475"/>
      <c r="CZ130" s="450"/>
      <c r="DA130" s="394"/>
      <c r="DB130" s="394"/>
      <c r="DC130" s="347"/>
      <c r="DD130" s="394"/>
      <c r="DE130" s="394"/>
      <c r="DF130" s="394"/>
      <c r="DG130" s="394"/>
      <c r="DH130" s="394"/>
    </row>
    <row r="131" spans="1:112" x14ac:dyDescent="0.25">
      <c r="A131" s="179">
        <v>423</v>
      </c>
      <c r="B131" s="181" t="s">
        <v>162</v>
      </c>
      <c r="C131" s="373">
        <v>19994</v>
      </c>
      <c r="D131" s="360">
        <v>19.5</v>
      </c>
      <c r="E131" s="213"/>
      <c r="G131" s="363">
        <v>23417</v>
      </c>
      <c r="H131" s="363">
        <v>117810</v>
      </c>
      <c r="I131" s="349"/>
      <c r="J131" s="363">
        <v>71842</v>
      </c>
      <c r="K131" s="363">
        <v>3850</v>
      </c>
      <c r="L131" s="363">
        <v>3745</v>
      </c>
      <c r="M131" s="363">
        <v>79437</v>
      </c>
      <c r="N131" s="363">
        <v>20637</v>
      </c>
      <c r="O131" s="363">
        <v>39</v>
      </c>
      <c r="P131" s="363">
        <v>492</v>
      </c>
      <c r="Q131" s="363">
        <v>141</v>
      </c>
      <c r="R131" s="363">
        <v>6</v>
      </c>
      <c r="S131" s="363">
        <v>5363</v>
      </c>
      <c r="U131" s="363">
        <v>7820</v>
      </c>
      <c r="V131" s="363">
        <v>0</v>
      </c>
      <c r="W131" s="363">
        <v>0</v>
      </c>
      <c r="X131" s="363">
        <v>-2457</v>
      </c>
      <c r="Y131" s="363">
        <v>5</v>
      </c>
      <c r="Z131" s="363">
        <v>0</v>
      </c>
      <c r="AA131" s="363">
        <v>0</v>
      </c>
      <c r="AB131" s="363">
        <v>-2452</v>
      </c>
      <c r="AD131" s="363">
        <v>1540</v>
      </c>
      <c r="AG131" s="363">
        <v>-7305</v>
      </c>
      <c r="AH131" s="349"/>
      <c r="AJ131" s="363">
        <v>7578</v>
      </c>
      <c r="AL131" s="363">
        <v>73792</v>
      </c>
      <c r="AN131" s="349"/>
      <c r="AO131" s="454">
        <v>20146</v>
      </c>
      <c r="AP131" s="478">
        <v>19.5</v>
      </c>
      <c r="AQ131" s="213"/>
      <c r="AS131" s="509">
        <v>21974</v>
      </c>
      <c r="AT131" s="349">
        <v>118534</v>
      </c>
      <c r="AU131" s="480">
        <v>-96560</v>
      </c>
      <c r="AV131" s="199">
        <v>74945</v>
      </c>
      <c r="AW131" s="199">
        <v>3879</v>
      </c>
      <c r="AX131" s="199">
        <v>3894</v>
      </c>
      <c r="AY131" s="199">
        <v>82718</v>
      </c>
      <c r="AZ131" s="199">
        <v>28410</v>
      </c>
      <c r="BA131" s="181">
        <v>33</v>
      </c>
      <c r="BB131" s="511">
        <v>338</v>
      </c>
      <c r="BC131" s="181">
        <v>127</v>
      </c>
      <c r="BD131" s="181">
        <v>10</v>
      </c>
      <c r="BE131" s="199">
        <v>14380</v>
      </c>
      <c r="BG131" s="183">
        <v>7367</v>
      </c>
      <c r="BH131" s="183">
        <v>0</v>
      </c>
      <c r="BI131" s="183">
        <v>0</v>
      </c>
      <c r="BJ131" s="199">
        <v>7013</v>
      </c>
      <c r="BK131" s="183">
        <v>5</v>
      </c>
      <c r="BL131" s="183">
        <v>0</v>
      </c>
      <c r="BM131" s="183">
        <v>0</v>
      </c>
      <c r="BN131" s="199">
        <v>7018</v>
      </c>
      <c r="BP131" s="199">
        <v>8558</v>
      </c>
      <c r="BS131" s="211"/>
      <c r="BV131" s="514">
        <v>7533</v>
      </c>
      <c r="BX131" s="181">
        <v>71351</v>
      </c>
      <c r="BZ131" s="349"/>
      <c r="CB131" s="340"/>
      <c r="CC131" s="488">
        <v>19.5</v>
      </c>
      <c r="CD131" s="378"/>
      <c r="CE131" s="378"/>
      <c r="CF131" s="195"/>
      <c r="CG131" s="349"/>
      <c r="CI131" s="181">
        <v>16925</v>
      </c>
      <c r="CJ131" s="183">
        <v>0</v>
      </c>
      <c r="CK131" s="421">
        <v>23221.88270895481</v>
      </c>
      <c r="CL131" s="494">
        <v>27068.457507523872</v>
      </c>
      <c r="CM131" s="483">
        <v>10073.847893565824</v>
      </c>
      <c r="CN131" s="483">
        <v>10747.143437502342</v>
      </c>
      <c r="CO131" s="483">
        <v>11851.523651372096</v>
      </c>
      <c r="CP131" s="433">
        <f t="shared" ref="CP131:CP194" si="2">N131-CK131</f>
        <v>-2584.8827089548104</v>
      </c>
      <c r="CQ131" s="212"/>
      <c r="CR131" s="212">
        <v>-1855</v>
      </c>
      <c r="CS131" s="212">
        <v>-12005</v>
      </c>
      <c r="CT131" s="183">
        <v>514</v>
      </c>
      <c r="CU131" s="183">
        <v>2254</v>
      </c>
      <c r="CV131" s="485">
        <v>18</v>
      </c>
      <c r="CX131" s="422"/>
      <c r="CY131" s="475"/>
      <c r="CZ131" s="450"/>
      <c r="DA131" s="394"/>
      <c r="DB131" s="394"/>
      <c r="DC131" s="347"/>
      <c r="DD131" s="394"/>
      <c r="DE131" s="394"/>
      <c r="DF131" s="394"/>
      <c r="DG131" s="394"/>
      <c r="DH131" s="394"/>
    </row>
    <row r="132" spans="1:112" x14ac:dyDescent="0.25">
      <c r="A132" s="179">
        <v>425</v>
      </c>
      <c r="B132" s="181" t="s">
        <v>163</v>
      </c>
      <c r="C132" s="373">
        <v>10191</v>
      </c>
      <c r="D132" s="360">
        <v>21.5</v>
      </c>
      <c r="E132" s="213"/>
      <c r="G132" s="363">
        <v>8283</v>
      </c>
      <c r="H132" s="363">
        <v>62337</v>
      </c>
      <c r="I132" s="349"/>
      <c r="J132" s="363">
        <v>31728</v>
      </c>
      <c r="K132" s="363">
        <v>698</v>
      </c>
      <c r="L132" s="363">
        <v>1317</v>
      </c>
      <c r="M132" s="363">
        <v>33743</v>
      </c>
      <c r="N132" s="363">
        <v>24598</v>
      </c>
      <c r="O132" s="363">
        <v>5</v>
      </c>
      <c r="P132" s="363">
        <v>169</v>
      </c>
      <c r="Q132" s="363">
        <v>29</v>
      </c>
      <c r="R132" s="363">
        <v>3</v>
      </c>
      <c r="S132" s="363">
        <v>4149</v>
      </c>
      <c r="U132" s="363">
        <v>4830</v>
      </c>
      <c r="V132" s="363">
        <v>0</v>
      </c>
      <c r="W132" s="363">
        <v>0</v>
      </c>
      <c r="X132" s="363">
        <v>-681</v>
      </c>
      <c r="Y132" s="363">
        <v>-3539</v>
      </c>
      <c r="Z132" s="363">
        <v>4321</v>
      </c>
      <c r="AA132" s="363">
        <v>0</v>
      </c>
      <c r="AB132" s="363">
        <v>101</v>
      </c>
      <c r="AD132" s="363">
        <v>8364</v>
      </c>
      <c r="AG132" s="363">
        <v>-7202</v>
      </c>
      <c r="AH132" s="349"/>
      <c r="AJ132" s="363">
        <v>6738</v>
      </c>
      <c r="AL132" s="363">
        <v>36152</v>
      </c>
      <c r="AN132" s="349"/>
      <c r="AO132" s="454">
        <v>10238</v>
      </c>
      <c r="AP132" s="478">
        <v>21.5</v>
      </c>
      <c r="AQ132" s="213"/>
      <c r="AS132" s="509">
        <v>7338</v>
      </c>
      <c r="AT132" s="349">
        <v>64064</v>
      </c>
      <c r="AU132" s="480">
        <v>-56726</v>
      </c>
      <c r="AV132" s="199">
        <v>33249</v>
      </c>
      <c r="AW132" s="199">
        <v>861</v>
      </c>
      <c r="AX132" s="199">
        <v>1202</v>
      </c>
      <c r="AY132" s="199">
        <v>35312</v>
      </c>
      <c r="AZ132" s="199">
        <v>29025</v>
      </c>
      <c r="BA132" s="181">
        <v>13</v>
      </c>
      <c r="BB132" s="511">
        <v>163</v>
      </c>
      <c r="BC132" s="181">
        <v>34</v>
      </c>
      <c r="BD132" s="181">
        <v>4</v>
      </c>
      <c r="BE132" s="199">
        <v>7491</v>
      </c>
      <c r="BG132" s="183">
        <v>4524</v>
      </c>
      <c r="BH132" s="183">
        <v>0</v>
      </c>
      <c r="BI132" s="183">
        <v>0</v>
      </c>
      <c r="BJ132" s="199">
        <v>2967</v>
      </c>
      <c r="BK132" s="183">
        <v>386</v>
      </c>
      <c r="BL132" s="183">
        <v>-3000</v>
      </c>
      <c r="BM132" s="183">
        <v>0</v>
      </c>
      <c r="BN132" s="199">
        <v>353</v>
      </c>
      <c r="BP132" s="199">
        <v>8717</v>
      </c>
      <c r="BS132" s="211"/>
      <c r="BV132" s="514">
        <v>4272</v>
      </c>
      <c r="BX132" s="181">
        <v>31453</v>
      </c>
      <c r="BZ132" s="349"/>
      <c r="CB132" s="340"/>
      <c r="CC132" s="488">
        <v>21.5</v>
      </c>
      <c r="CD132" s="378"/>
      <c r="CE132" s="378"/>
      <c r="CF132" s="195"/>
      <c r="CG132" s="349"/>
      <c r="CI132" s="181">
        <v>21999</v>
      </c>
      <c r="CJ132" s="183">
        <v>0</v>
      </c>
      <c r="CK132" s="421">
        <v>26535.684069487794</v>
      </c>
      <c r="CL132" s="494">
        <v>27583.649632049019</v>
      </c>
      <c r="CM132" s="483">
        <v>20738.772928148486</v>
      </c>
      <c r="CN132" s="483">
        <v>20823.288705129598</v>
      </c>
      <c r="CO132" s="483">
        <v>20993.675833263595</v>
      </c>
      <c r="CP132" s="433">
        <f t="shared" si="2"/>
        <v>-1937.6840694877937</v>
      </c>
      <c r="CQ132" s="212"/>
      <c r="CR132" s="212">
        <v>-276</v>
      </c>
      <c r="CS132" s="212">
        <v>-7094</v>
      </c>
      <c r="CT132" s="183">
        <v>16</v>
      </c>
      <c r="CU132" s="183">
        <v>722</v>
      </c>
      <c r="CV132" s="485">
        <v>-960</v>
      </c>
      <c r="CX132" s="422"/>
      <c r="CY132" s="475"/>
      <c r="CZ132" s="450"/>
      <c r="DA132" s="394"/>
      <c r="DB132" s="394"/>
      <c r="DC132" s="347"/>
      <c r="DD132" s="394"/>
      <c r="DE132" s="394"/>
      <c r="DF132" s="394"/>
      <c r="DG132" s="394"/>
      <c r="DH132" s="394"/>
    </row>
    <row r="133" spans="1:112" x14ac:dyDescent="0.25">
      <c r="A133" s="179">
        <v>426</v>
      </c>
      <c r="B133" s="181" t="s">
        <v>164</v>
      </c>
      <c r="C133" s="373">
        <v>12084</v>
      </c>
      <c r="D133" s="360">
        <v>21.5</v>
      </c>
      <c r="E133" s="213"/>
      <c r="G133" s="363">
        <v>11849</v>
      </c>
      <c r="H133" s="363">
        <v>76936</v>
      </c>
      <c r="I133" s="349"/>
      <c r="J133" s="363">
        <v>36988</v>
      </c>
      <c r="K133" s="363">
        <v>1345</v>
      </c>
      <c r="L133" s="363">
        <v>2416</v>
      </c>
      <c r="M133" s="363">
        <v>40749</v>
      </c>
      <c r="N133" s="363">
        <v>26533</v>
      </c>
      <c r="O133" s="363">
        <v>43</v>
      </c>
      <c r="P133" s="363">
        <v>276</v>
      </c>
      <c r="Q133" s="363">
        <v>335</v>
      </c>
      <c r="R133" s="363">
        <v>0</v>
      </c>
      <c r="S133" s="363">
        <v>2297</v>
      </c>
      <c r="U133" s="363">
        <v>2951</v>
      </c>
      <c r="V133" s="363">
        <v>0</v>
      </c>
      <c r="W133" s="363">
        <v>0</v>
      </c>
      <c r="X133" s="363">
        <v>-654</v>
      </c>
      <c r="Y133" s="363">
        <v>119</v>
      </c>
      <c r="Z133" s="363">
        <v>0</v>
      </c>
      <c r="AA133" s="363">
        <v>0</v>
      </c>
      <c r="AB133" s="363">
        <v>-535</v>
      </c>
      <c r="AD133" s="363">
        <v>4522</v>
      </c>
      <c r="AG133" s="363">
        <v>-2763</v>
      </c>
      <c r="AH133" s="349"/>
      <c r="AJ133" s="363">
        <v>3673</v>
      </c>
      <c r="AL133" s="363">
        <v>35076</v>
      </c>
      <c r="AN133" s="349"/>
      <c r="AO133" s="454">
        <v>11994</v>
      </c>
      <c r="AP133" s="478">
        <v>21.5</v>
      </c>
      <c r="AQ133" s="213"/>
      <c r="AS133" s="509">
        <v>11675</v>
      </c>
      <c r="AT133" s="349">
        <v>79570</v>
      </c>
      <c r="AU133" s="480">
        <v>-67895</v>
      </c>
      <c r="AV133" s="199">
        <v>37662</v>
      </c>
      <c r="AW133" s="199">
        <v>1430</v>
      </c>
      <c r="AX133" s="199">
        <v>2289</v>
      </c>
      <c r="AY133" s="199">
        <v>41381</v>
      </c>
      <c r="AZ133" s="199">
        <v>30868</v>
      </c>
      <c r="BA133" s="181">
        <v>3</v>
      </c>
      <c r="BB133" s="511">
        <v>276</v>
      </c>
      <c r="BC133" s="181">
        <v>835</v>
      </c>
      <c r="BD133" s="181">
        <v>0</v>
      </c>
      <c r="BE133" s="199">
        <v>4916</v>
      </c>
      <c r="BG133" s="183">
        <v>4118</v>
      </c>
      <c r="BH133" s="183">
        <v>0</v>
      </c>
      <c r="BI133" s="183">
        <v>0</v>
      </c>
      <c r="BJ133" s="199">
        <v>798</v>
      </c>
      <c r="BK133" s="183">
        <v>119</v>
      </c>
      <c r="BL133" s="183">
        <v>0</v>
      </c>
      <c r="BM133" s="183">
        <v>0</v>
      </c>
      <c r="BN133" s="199">
        <v>917</v>
      </c>
      <c r="BP133" s="199">
        <v>5088</v>
      </c>
      <c r="BS133" s="211"/>
      <c r="BV133" s="514">
        <v>7758</v>
      </c>
      <c r="BX133" s="181">
        <v>42298</v>
      </c>
      <c r="BZ133" s="349"/>
      <c r="CB133" s="340"/>
      <c r="CC133" s="488">
        <v>21.5</v>
      </c>
      <c r="CD133" s="378"/>
      <c r="CE133" s="378"/>
      <c r="CF133" s="195"/>
      <c r="CG133" s="349"/>
      <c r="CI133" s="181">
        <v>24656</v>
      </c>
      <c r="CJ133" s="183">
        <v>0</v>
      </c>
      <c r="CK133" s="421">
        <v>29499.252213327309</v>
      </c>
      <c r="CL133" s="494">
        <v>30146.105054012845</v>
      </c>
      <c r="CM133" s="483">
        <v>9282.715729109128</v>
      </c>
      <c r="CN133" s="483">
        <v>8504.6703797892314</v>
      </c>
      <c r="CO133" s="483">
        <v>8195.9345851095131</v>
      </c>
      <c r="CP133" s="433">
        <f t="shared" si="2"/>
        <v>-2966.2522133273087</v>
      </c>
      <c r="CQ133" s="212"/>
      <c r="CR133" s="212">
        <v>1108</v>
      </c>
      <c r="CS133" s="212">
        <v>-9276</v>
      </c>
      <c r="CT133" s="183">
        <v>518</v>
      </c>
      <c r="CU133" s="183">
        <v>135</v>
      </c>
      <c r="CV133" s="485">
        <v>-137</v>
      </c>
      <c r="CX133" s="422"/>
      <c r="CY133" s="475"/>
      <c r="CZ133" s="450"/>
      <c r="DA133" s="394"/>
      <c r="DB133" s="394"/>
      <c r="DC133" s="347"/>
      <c r="DD133" s="394"/>
      <c r="DE133" s="394"/>
      <c r="DF133" s="394"/>
      <c r="DG133" s="394"/>
      <c r="DH133" s="394"/>
    </row>
    <row r="134" spans="1:112" x14ac:dyDescent="0.25">
      <c r="A134" s="179">
        <v>444</v>
      </c>
      <c r="B134" s="181" t="s">
        <v>165</v>
      </c>
      <c r="C134" s="373">
        <v>45965</v>
      </c>
      <c r="D134" s="360">
        <v>20.5</v>
      </c>
      <c r="E134" s="213"/>
      <c r="G134" s="363">
        <v>49581</v>
      </c>
      <c r="H134" s="363">
        <v>300779</v>
      </c>
      <c r="I134" s="349"/>
      <c r="J134" s="363">
        <v>169133</v>
      </c>
      <c r="K134" s="363">
        <v>7157</v>
      </c>
      <c r="L134" s="363">
        <v>13799</v>
      </c>
      <c r="M134" s="363">
        <v>190089</v>
      </c>
      <c r="N134" s="363">
        <v>67720</v>
      </c>
      <c r="O134" s="363">
        <v>189</v>
      </c>
      <c r="P134" s="363">
        <v>1706</v>
      </c>
      <c r="Q134" s="363">
        <v>1528</v>
      </c>
      <c r="R134" s="363">
        <v>220</v>
      </c>
      <c r="S134" s="363">
        <v>6402</v>
      </c>
      <c r="U134" s="363">
        <v>15919</v>
      </c>
      <c r="V134" s="363">
        <v>0</v>
      </c>
      <c r="W134" s="363">
        <v>0</v>
      </c>
      <c r="X134" s="363">
        <v>-9517</v>
      </c>
      <c r="Y134" s="363">
        <v>67</v>
      </c>
      <c r="Z134" s="363">
        <v>0</v>
      </c>
      <c r="AA134" s="363">
        <v>0</v>
      </c>
      <c r="AB134" s="363">
        <v>-9450</v>
      </c>
      <c r="AD134" s="363">
        <v>-9215</v>
      </c>
      <c r="AG134" s="363">
        <v>-22238</v>
      </c>
      <c r="AH134" s="349"/>
      <c r="AJ134" s="363">
        <v>4550</v>
      </c>
      <c r="AL134" s="363">
        <v>173920</v>
      </c>
      <c r="AN134" s="349"/>
      <c r="AO134" s="454">
        <v>45886</v>
      </c>
      <c r="AP134" s="478">
        <v>20.5</v>
      </c>
      <c r="AQ134" s="213"/>
      <c r="AS134" s="509">
        <v>48104</v>
      </c>
      <c r="AT134" s="349">
        <v>300744</v>
      </c>
      <c r="AU134" s="480">
        <v>-252640</v>
      </c>
      <c r="AV134" s="199">
        <v>177030</v>
      </c>
      <c r="AW134" s="199">
        <v>7709</v>
      </c>
      <c r="AX134" s="199">
        <v>12516</v>
      </c>
      <c r="AY134" s="199">
        <v>197255</v>
      </c>
      <c r="AZ134" s="199">
        <v>88923</v>
      </c>
      <c r="BA134" s="181">
        <v>169</v>
      </c>
      <c r="BB134" s="511">
        <v>1774</v>
      </c>
      <c r="BC134" s="181">
        <v>2036</v>
      </c>
      <c r="BD134" s="181">
        <v>274</v>
      </c>
      <c r="BE134" s="199">
        <v>33695</v>
      </c>
      <c r="BG134" s="183">
        <v>19350</v>
      </c>
      <c r="BH134" s="183">
        <v>0</v>
      </c>
      <c r="BI134" s="183">
        <v>0</v>
      </c>
      <c r="BJ134" s="199">
        <v>14345</v>
      </c>
      <c r="BK134" s="199">
        <v>67</v>
      </c>
      <c r="BL134" s="199">
        <v>0</v>
      </c>
      <c r="BM134" s="183">
        <v>0</v>
      </c>
      <c r="BN134" s="199">
        <v>14412</v>
      </c>
      <c r="BP134" s="199">
        <v>5198</v>
      </c>
      <c r="BS134" s="211"/>
      <c r="BV134" s="514">
        <v>8666</v>
      </c>
      <c r="BX134" s="181">
        <v>178390</v>
      </c>
      <c r="BZ134" s="349"/>
      <c r="CB134" s="340"/>
      <c r="CC134" s="488">
        <v>20.5</v>
      </c>
      <c r="CD134" s="378"/>
      <c r="CE134" s="378"/>
      <c r="CF134" s="195"/>
      <c r="CG134" s="349"/>
      <c r="CI134" s="181">
        <v>42170</v>
      </c>
      <c r="CJ134" s="183">
        <v>0</v>
      </c>
      <c r="CK134" s="421">
        <v>79395.313709447175</v>
      </c>
      <c r="CL134" s="494">
        <v>84884.462479302805</v>
      </c>
      <c r="CM134" s="483">
        <v>24086.816107393821</v>
      </c>
      <c r="CN134" s="483">
        <v>20654.503478822084</v>
      </c>
      <c r="CO134" s="483">
        <v>18940.352769106597</v>
      </c>
      <c r="CP134" s="433">
        <f t="shared" si="2"/>
        <v>-11675.313709447175</v>
      </c>
      <c r="CQ134" s="212"/>
      <c r="CR134" s="212">
        <v>-1995</v>
      </c>
      <c r="CS134" s="212">
        <v>-34442</v>
      </c>
      <c r="CT134" s="183">
        <v>16</v>
      </c>
      <c r="CU134" s="183">
        <v>2377</v>
      </c>
      <c r="CV134" s="485">
        <v>-693</v>
      </c>
      <c r="CX134" s="422"/>
      <c r="CY134" s="475"/>
      <c r="CZ134" s="450"/>
      <c r="DA134" s="394"/>
      <c r="DB134" s="394"/>
      <c r="DC134" s="347"/>
      <c r="DD134" s="394"/>
      <c r="DE134" s="394"/>
      <c r="DF134" s="394"/>
      <c r="DG134" s="394"/>
      <c r="DH134" s="394"/>
    </row>
    <row r="135" spans="1:112" x14ac:dyDescent="0.25">
      <c r="A135" s="179">
        <v>430</v>
      </c>
      <c r="B135" s="181" t="s">
        <v>166</v>
      </c>
      <c r="C135" s="373">
        <v>15875</v>
      </c>
      <c r="D135" s="360">
        <v>21</v>
      </c>
      <c r="E135" s="213"/>
      <c r="G135" s="363">
        <v>20292</v>
      </c>
      <c r="H135" s="363">
        <v>114112</v>
      </c>
      <c r="I135" s="349"/>
      <c r="J135" s="363">
        <v>46828</v>
      </c>
      <c r="K135" s="363">
        <v>3347</v>
      </c>
      <c r="L135" s="363">
        <v>4208</v>
      </c>
      <c r="M135" s="363">
        <v>54383</v>
      </c>
      <c r="N135" s="363">
        <v>40945</v>
      </c>
      <c r="O135" s="363">
        <v>0</v>
      </c>
      <c r="P135" s="363">
        <v>228</v>
      </c>
      <c r="Q135" s="363">
        <v>247</v>
      </c>
      <c r="R135" s="363">
        <v>14</v>
      </c>
      <c r="S135" s="363">
        <v>1513</v>
      </c>
      <c r="U135" s="363">
        <v>3960</v>
      </c>
      <c r="V135" s="363">
        <v>0</v>
      </c>
      <c r="W135" s="363">
        <v>808</v>
      </c>
      <c r="X135" s="363">
        <v>-3255</v>
      </c>
      <c r="Y135" s="363">
        <v>61</v>
      </c>
      <c r="Z135" s="363">
        <v>0</v>
      </c>
      <c r="AA135" s="363">
        <v>0</v>
      </c>
      <c r="AB135" s="363">
        <v>-3194</v>
      </c>
      <c r="AD135" s="363">
        <v>-7586</v>
      </c>
      <c r="AG135" s="363">
        <v>-3555</v>
      </c>
      <c r="AH135" s="349"/>
      <c r="AJ135" s="363">
        <v>5953</v>
      </c>
      <c r="AL135" s="363">
        <v>42991</v>
      </c>
      <c r="AN135" s="349"/>
      <c r="AO135" s="454">
        <v>15770</v>
      </c>
      <c r="AP135" s="478">
        <v>21</v>
      </c>
      <c r="AQ135" s="213"/>
      <c r="AS135" s="509">
        <v>18019</v>
      </c>
      <c r="AT135" s="349">
        <v>108729</v>
      </c>
      <c r="AU135" s="480">
        <v>-90710</v>
      </c>
      <c r="AV135" s="199">
        <v>48377</v>
      </c>
      <c r="AW135" s="199">
        <v>3724</v>
      </c>
      <c r="AX135" s="199">
        <v>3814</v>
      </c>
      <c r="AY135" s="199">
        <v>55915</v>
      </c>
      <c r="AZ135" s="199">
        <v>47464</v>
      </c>
      <c r="BA135" s="181">
        <v>0</v>
      </c>
      <c r="BB135" s="511">
        <v>193</v>
      </c>
      <c r="BC135" s="181">
        <v>315</v>
      </c>
      <c r="BD135" s="181">
        <v>19</v>
      </c>
      <c r="BE135" s="199">
        <v>12772</v>
      </c>
      <c r="BG135" s="183">
        <v>5108</v>
      </c>
      <c r="BH135" s="183">
        <v>0</v>
      </c>
      <c r="BI135" s="183">
        <v>0</v>
      </c>
      <c r="BJ135" s="199">
        <v>7664</v>
      </c>
      <c r="BK135" s="199">
        <v>58</v>
      </c>
      <c r="BL135" s="183">
        <v>0</v>
      </c>
      <c r="BM135" s="183">
        <v>0</v>
      </c>
      <c r="BN135" s="199">
        <v>7722</v>
      </c>
      <c r="BP135" s="199">
        <v>136</v>
      </c>
      <c r="BS135" s="211"/>
      <c r="BV135" s="514">
        <v>10990</v>
      </c>
      <c r="BX135" s="181">
        <v>40555</v>
      </c>
      <c r="BZ135" s="349"/>
      <c r="CB135" s="340"/>
      <c r="CC135" s="488">
        <v>21</v>
      </c>
      <c r="CD135" s="378"/>
      <c r="CE135" s="378"/>
      <c r="CF135" s="195"/>
      <c r="CG135" s="349"/>
      <c r="CI135" s="181">
        <v>37550</v>
      </c>
      <c r="CJ135" s="183">
        <v>0</v>
      </c>
      <c r="CK135" s="421">
        <v>44890.628074194843</v>
      </c>
      <c r="CL135" s="494">
        <v>47562.036243898583</v>
      </c>
      <c r="CM135" s="483">
        <v>12524.650202252746</v>
      </c>
      <c r="CN135" s="483">
        <v>11837.60177867833</v>
      </c>
      <c r="CO135" s="483">
        <v>11516.53486900463</v>
      </c>
      <c r="CP135" s="433">
        <f t="shared" si="2"/>
        <v>-3945.6280741948431</v>
      </c>
      <c r="CQ135" s="212"/>
      <c r="CR135" s="212">
        <v>-192</v>
      </c>
      <c r="CS135" s="212">
        <v>-3573</v>
      </c>
      <c r="CT135" s="183">
        <v>0</v>
      </c>
      <c r="CU135" s="183">
        <v>263</v>
      </c>
      <c r="CV135" s="485">
        <v>3</v>
      </c>
      <c r="CX135" s="422"/>
      <c r="CY135" s="475"/>
      <c r="CZ135" s="450"/>
      <c r="DA135" s="394"/>
      <c r="DB135" s="394"/>
      <c r="DC135" s="347"/>
      <c r="DD135" s="394"/>
      <c r="DE135" s="394"/>
      <c r="DF135" s="394"/>
      <c r="DG135" s="394"/>
      <c r="DH135" s="394"/>
    </row>
    <row r="136" spans="1:112" x14ac:dyDescent="0.25">
      <c r="A136" s="179">
        <v>433</v>
      </c>
      <c r="B136" s="181" t="s">
        <v>167</v>
      </c>
      <c r="C136" s="373">
        <v>7828</v>
      </c>
      <c r="D136" s="360">
        <v>21.5</v>
      </c>
      <c r="E136" s="213"/>
      <c r="G136" s="363">
        <v>5667</v>
      </c>
      <c r="H136" s="363">
        <v>47770</v>
      </c>
      <c r="I136" s="349"/>
      <c r="J136" s="363">
        <v>25620</v>
      </c>
      <c r="K136" s="363">
        <v>1479</v>
      </c>
      <c r="L136" s="363">
        <v>2107</v>
      </c>
      <c r="M136" s="363">
        <v>29206</v>
      </c>
      <c r="N136" s="363">
        <v>16124</v>
      </c>
      <c r="O136" s="363">
        <v>11</v>
      </c>
      <c r="P136" s="363">
        <v>293</v>
      </c>
      <c r="Q136" s="363">
        <v>11</v>
      </c>
      <c r="R136" s="363">
        <v>3</v>
      </c>
      <c r="S136" s="363">
        <v>2953</v>
      </c>
      <c r="U136" s="363">
        <v>2100</v>
      </c>
      <c r="V136" s="363">
        <v>0</v>
      </c>
      <c r="W136" s="363">
        <v>0</v>
      </c>
      <c r="X136" s="363">
        <v>853</v>
      </c>
      <c r="Y136" s="363">
        <v>0</v>
      </c>
      <c r="Z136" s="363">
        <v>0</v>
      </c>
      <c r="AA136" s="363">
        <v>0</v>
      </c>
      <c r="AB136" s="363">
        <v>853</v>
      </c>
      <c r="AD136" s="363">
        <v>13770</v>
      </c>
      <c r="AG136" s="363">
        <v>-1632</v>
      </c>
      <c r="AH136" s="349"/>
      <c r="AJ136" s="363">
        <v>2781</v>
      </c>
      <c r="AL136" s="363">
        <v>20822</v>
      </c>
      <c r="AN136" s="349"/>
      <c r="AO136" s="454">
        <v>7853</v>
      </c>
      <c r="AP136" s="478">
        <v>21.5</v>
      </c>
      <c r="AQ136" s="213"/>
      <c r="AS136" s="509">
        <v>5936</v>
      </c>
      <c r="AT136" s="349">
        <v>48236</v>
      </c>
      <c r="AU136" s="480">
        <v>-42300</v>
      </c>
      <c r="AV136" s="199">
        <v>26358</v>
      </c>
      <c r="AW136" s="199">
        <v>1742</v>
      </c>
      <c r="AX136" s="199">
        <v>1889</v>
      </c>
      <c r="AY136" s="199">
        <v>29989</v>
      </c>
      <c r="AZ136" s="199">
        <v>18736</v>
      </c>
      <c r="BA136" s="181">
        <v>17</v>
      </c>
      <c r="BB136" s="511">
        <v>277</v>
      </c>
      <c r="BC136" s="181">
        <v>10</v>
      </c>
      <c r="BD136" s="181">
        <v>8</v>
      </c>
      <c r="BE136" s="199">
        <v>6167</v>
      </c>
      <c r="BG136" s="183">
        <v>4043</v>
      </c>
      <c r="BH136" s="183">
        <v>0</v>
      </c>
      <c r="BI136" s="183">
        <v>0</v>
      </c>
      <c r="BJ136" s="199">
        <v>2124</v>
      </c>
      <c r="BK136" s="183">
        <v>0</v>
      </c>
      <c r="BL136" s="183">
        <v>0</v>
      </c>
      <c r="BM136" s="183">
        <v>0</v>
      </c>
      <c r="BN136" s="199">
        <v>2124</v>
      </c>
      <c r="BP136" s="199">
        <v>15894</v>
      </c>
      <c r="BS136" s="211"/>
      <c r="BV136" s="514">
        <v>6281</v>
      </c>
      <c r="BX136" s="181">
        <v>18598</v>
      </c>
      <c r="BZ136" s="349"/>
      <c r="CB136" s="340"/>
      <c r="CC136" s="488">
        <v>21.5</v>
      </c>
      <c r="CD136" s="378"/>
      <c r="CE136" s="378"/>
      <c r="CF136" s="195"/>
      <c r="CG136" s="349"/>
      <c r="CI136" s="181">
        <v>14314</v>
      </c>
      <c r="CJ136" s="183">
        <v>0</v>
      </c>
      <c r="CK136" s="421">
        <v>17296.8784629439</v>
      </c>
      <c r="CL136" s="494">
        <v>18005.324303936421</v>
      </c>
      <c r="CM136" s="483">
        <v>6635.2216861351171</v>
      </c>
      <c r="CN136" s="483">
        <v>6112.9498554650527</v>
      </c>
      <c r="CO136" s="483">
        <v>5431.6053749998991</v>
      </c>
      <c r="CP136" s="433">
        <f t="shared" si="2"/>
        <v>-1172.8784629438996</v>
      </c>
      <c r="CQ136" s="212"/>
      <c r="CR136" s="212">
        <v>-191</v>
      </c>
      <c r="CS136" s="212">
        <v>-1415</v>
      </c>
      <c r="CT136" s="183">
        <v>98</v>
      </c>
      <c r="CU136" s="183">
        <v>150</v>
      </c>
      <c r="CV136" s="485">
        <v>25</v>
      </c>
      <c r="CX136" s="422"/>
      <c r="CY136" s="475"/>
      <c r="CZ136" s="450"/>
      <c r="DA136" s="394"/>
      <c r="DB136" s="394"/>
      <c r="DC136" s="347"/>
      <c r="DD136" s="394"/>
      <c r="DE136" s="394"/>
      <c r="DF136" s="394"/>
      <c r="DG136" s="394"/>
      <c r="DH136" s="394"/>
    </row>
    <row r="137" spans="1:112" x14ac:dyDescent="0.25">
      <c r="A137" s="352">
        <v>434</v>
      </c>
      <c r="B137" s="349" t="s">
        <v>168</v>
      </c>
      <c r="C137" s="373">
        <v>14772</v>
      </c>
      <c r="D137" s="349">
        <v>19.75</v>
      </c>
      <c r="E137" s="429"/>
      <c r="F137" s="349"/>
      <c r="G137" s="363">
        <v>24104</v>
      </c>
      <c r="H137" s="363">
        <v>111731</v>
      </c>
      <c r="I137" s="349"/>
      <c r="J137" s="363">
        <v>47242</v>
      </c>
      <c r="K137" s="363">
        <v>3899</v>
      </c>
      <c r="L137" s="363">
        <v>8151</v>
      </c>
      <c r="M137" s="363">
        <v>59292</v>
      </c>
      <c r="N137" s="363">
        <v>24859</v>
      </c>
      <c r="O137" s="363">
        <v>24</v>
      </c>
      <c r="P137" s="363">
        <v>239</v>
      </c>
      <c r="Q137" s="363">
        <v>1941</v>
      </c>
      <c r="R137" s="363">
        <v>10</v>
      </c>
      <c r="S137" s="363">
        <v>-1760</v>
      </c>
      <c r="T137" s="349"/>
      <c r="U137" s="363">
        <v>7132</v>
      </c>
      <c r="V137" s="363">
        <v>0</v>
      </c>
      <c r="W137" s="363">
        <v>259</v>
      </c>
      <c r="X137" s="363">
        <v>-9151</v>
      </c>
      <c r="Y137" s="363">
        <v>41</v>
      </c>
      <c r="Z137" s="363">
        <v>0</v>
      </c>
      <c r="AA137" s="363">
        <v>0</v>
      </c>
      <c r="AB137" s="363">
        <v>-9110</v>
      </c>
      <c r="AC137" s="349"/>
      <c r="AD137" s="363">
        <v>2049</v>
      </c>
      <c r="AE137" s="349"/>
      <c r="AF137" s="349"/>
      <c r="AG137" s="363">
        <v>-11173</v>
      </c>
      <c r="AH137" s="349"/>
      <c r="AI137" s="349"/>
      <c r="AJ137" s="363">
        <v>6932</v>
      </c>
      <c r="AK137" s="349"/>
      <c r="AL137" s="363">
        <v>63855</v>
      </c>
      <c r="AM137" s="349"/>
      <c r="AN137" s="349"/>
      <c r="AO137" s="462">
        <v>14745</v>
      </c>
      <c r="AP137" s="478">
        <v>20.25</v>
      </c>
      <c r="AQ137" s="429"/>
      <c r="AR137" s="349"/>
      <c r="AS137" s="509">
        <v>23995</v>
      </c>
      <c r="AT137" s="349">
        <v>110103</v>
      </c>
      <c r="AU137" s="363">
        <v>-86108</v>
      </c>
      <c r="AV137" s="349">
        <v>50192</v>
      </c>
      <c r="AW137" s="349">
        <v>3621</v>
      </c>
      <c r="AX137" s="349">
        <v>7495</v>
      </c>
      <c r="AY137" s="349">
        <v>61308</v>
      </c>
      <c r="AZ137" s="349">
        <v>33491</v>
      </c>
      <c r="BA137" s="349">
        <v>11</v>
      </c>
      <c r="BB137" s="349">
        <v>233</v>
      </c>
      <c r="BC137" s="349">
        <v>2266</v>
      </c>
      <c r="BD137" s="349">
        <v>15</v>
      </c>
      <c r="BE137" s="349">
        <v>10720</v>
      </c>
      <c r="BF137" s="349"/>
      <c r="BG137" s="349">
        <v>6331</v>
      </c>
      <c r="BH137" s="349">
        <v>0</v>
      </c>
      <c r="BI137" s="349">
        <v>191</v>
      </c>
      <c r="BJ137" s="349">
        <v>4198</v>
      </c>
      <c r="BK137" s="349">
        <v>-5059</v>
      </c>
      <c r="BL137" s="349">
        <v>5100</v>
      </c>
      <c r="BM137" s="349">
        <v>0</v>
      </c>
      <c r="BN137" s="349">
        <v>4239</v>
      </c>
      <c r="BO137" s="349"/>
      <c r="BP137" s="349">
        <v>6289</v>
      </c>
      <c r="BQ137" s="349"/>
      <c r="BR137" s="349"/>
      <c r="BS137" s="349"/>
      <c r="BT137" s="349"/>
      <c r="BU137" s="349"/>
      <c r="BV137" s="349">
        <v>22358</v>
      </c>
      <c r="BW137" s="349"/>
      <c r="BX137" s="349">
        <v>84379</v>
      </c>
      <c r="BY137" s="349"/>
      <c r="BZ137" s="349"/>
      <c r="CA137" s="349"/>
      <c r="CC137" s="488">
        <v>20.25</v>
      </c>
      <c r="CD137" s="378"/>
      <c r="CE137" s="379"/>
      <c r="CF137" s="349"/>
      <c r="CG137" s="349"/>
      <c r="CH137" s="349"/>
      <c r="CI137" s="349">
        <v>22724</v>
      </c>
      <c r="CJ137" s="347">
        <v>0</v>
      </c>
      <c r="CK137" s="421">
        <v>31976.809637833529</v>
      </c>
      <c r="CL137" s="494">
        <v>34098.336475470154</v>
      </c>
      <c r="CM137" s="475">
        <v>7269.3577165447869</v>
      </c>
      <c r="CN137" s="475">
        <v>6502.4851084969423</v>
      </c>
      <c r="CO137" s="475">
        <v>5922.5488028059399</v>
      </c>
      <c r="CP137" s="433">
        <f t="shared" si="2"/>
        <v>-7117.8096378335285</v>
      </c>
      <c r="CQ137" s="363"/>
      <c r="CR137" s="363">
        <v>-2739</v>
      </c>
      <c r="CS137" s="363">
        <v>-18205</v>
      </c>
      <c r="CT137" s="347">
        <v>300</v>
      </c>
      <c r="CU137" s="347">
        <v>4676</v>
      </c>
      <c r="CV137" s="485">
        <v>-2914</v>
      </c>
      <c r="CW137" s="357"/>
      <c r="CX137" s="347"/>
      <c r="CY137" s="475"/>
      <c r="CZ137" s="394"/>
      <c r="DA137" s="394"/>
      <c r="DB137" s="394"/>
      <c r="DC137" s="347"/>
      <c r="DD137" s="394"/>
      <c r="DE137" s="394"/>
      <c r="DF137" s="394"/>
      <c r="DG137" s="394"/>
      <c r="DH137" s="394"/>
    </row>
    <row r="138" spans="1:112" x14ac:dyDescent="0.25">
      <c r="A138" s="179">
        <v>435</v>
      </c>
      <c r="B138" s="181" t="s">
        <v>169</v>
      </c>
      <c r="C138" s="373">
        <v>690</v>
      </c>
      <c r="D138" s="360">
        <v>18.5</v>
      </c>
      <c r="E138" s="213"/>
      <c r="G138" s="363">
        <v>923</v>
      </c>
      <c r="H138" s="363">
        <v>6323</v>
      </c>
      <c r="I138" s="349"/>
      <c r="J138" s="363">
        <v>1752</v>
      </c>
      <c r="K138" s="363">
        <v>309</v>
      </c>
      <c r="L138" s="363">
        <v>585</v>
      </c>
      <c r="M138" s="363">
        <v>2646</v>
      </c>
      <c r="N138" s="363">
        <v>2789</v>
      </c>
      <c r="O138" s="363">
        <v>14</v>
      </c>
      <c r="P138" s="363">
        <v>21</v>
      </c>
      <c r="Q138" s="363">
        <v>30</v>
      </c>
      <c r="R138" s="363">
        <v>1</v>
      </c>
      <c r="S138" s="363">
        <v>57</v>
      </c>
      <c r="U138" s="363">
        <v>248</v>
      </c>
      <c r="V138" s="363">
        <v>0</v>
      </c>
      <c r="W138" s="363">
        <v>1111</v>
      </c>
      <c r="X138" s="363">
        <v>-1302</v>
      </c>
      <c r="Y138" s="363">
        <v>0</v>
      </c>
      <c r="Z138" s="363">
        <v>0</v>
      </c>
      <c r="AA138" s="363">
        <v>0</v>
      </c>
      <c r="AB138" s="363">
        <v>-1302</v>
      </c>
      <c r="AD138" s="363">
        <v>1677</v>
      </c>
      <c r="AG138" s="363">
        <v>-26</v>
      </c>
      <c r="AH138" s="349"/>
      <c r="AJ138" s="363">
        <v>810</v>
      </c>
      <c r="AL138" s="363">
        <v>1959</v>
      </c>
      <c r="AN138" s="349"/>
      <c r="AO138" s="454">
        <v>699</v>
      </c>
      <c r="AP138" s="478">
        <v>18.5</v>
      </c>
      <c r="AQ138" s="213"/>
      <c r="AS138" s="509">
        <v>1108</v>
      </c>
      <c r="AT138" s="349">
        <v>5840</v>
      </c>
      <c r="AU138" s="480">
        <v>-4732</v>
      </c>
      <c r="AV138" s="199">
        <v>1767</v>
      </c>
      <c r="AW138" s="199">
        <v>348</v>
      </c>
      <c r="AX138" s="199">
        <v>535</v>
      </c>
      <c r="AY138" s="199">
        <v>2650</v>
      </c>
      <c r="AZ138" s="199">
        <v>2954</v>
      </c>
      <c r="BA138" s="181">
        <v>3</v>
      </c>
      <c r="BB138" s="511">
        <v>22</v>
      </c>
      <c r="BC138" s="181">
        <v>35</v>
      </c>
      <c r="BD138" s="181">
        <v>2</v>
      </c>
      <c r="BE138" s="199">
        <v>886</v>
      </c>
      <c r="BG138" s="183">
        <v>233</v>
      </c>
      <c r="BH138" s="199">
        <v>0</v>
      </c>
      <c r="BI138" s="183">
        <v>0</v>
      </c>
      <c r="BJ138" s="199">
        <v>653</v>
      </c>
      <c r="BK138" s="183">
        <v>0</v>
      </c>
      <c r="BL138" s="183">
        <v>0</v>
      </c>
      <c r="BM138" s="183">
        <v>0</v>
      </c>
      <c r="BN138" s="199">
        <v>653</v>
      </c>
      <c r="BP138" s="199">
        <v>2331</v>
      </c>
      <c r="BS138" s="211"/>
      <c r="BV138" s="514">
        <v>1218</v>
      </c>
      <c r="BX138" s="181">
        <v>2896</v>
      </c>
      <c r="BZ138" s="349"/>
      <c r="CB138" s="340"/>
      <c r="CC138" s="488">
        <v>18.5</v>
      </c>
      <c r="CD138" s="378"/>
      <c r="CE138" s="378"/>
      <c r="CF138" s="195"/>
      <c r="CG138" s="349"/>
      <c r="CI138" s="181">
        <v>2731</v>
      </c>
      <c r="CJ138" s="183">
        <v>0</v>
      </c>
      <c r="CK138" s="421">
        <v>2638.6586603577407</v>
      </c>
      <c r="CL138" s="494">
        <v>2559.2457271442504</v>
      </c>
      <c r="CM138" s="483">
        <v>708.27239127951566</v>
      </c>
      <c r="CN138" s="483">
        <v>745.18330545071467</v>
      </c>
      <c r="CO138" s="483">
        <v>770.42240093636997</v>
      </c>
      <c r="CP138" s="433">
        <f t="shared" si="2"/>
        <v>150.3413396422593</v>
      </c>
      <c r="CQ138" s="212"/>
      <c r="CR138" s="212">
        <v>-1104</v>
      </c>
      <c r="CS138" s="212">
        <v>-69</v>
      </c>
      <c r="CT138" s="183">
        <v>1</v>
      </c>
      <c r="CU138" s="183">
        <v>28</v>
      </c>
      <c r="CV138" s="485">
        <v>0</v>
      </c>
      <c r="CX138" s="422"/>
      <c r="CY138" s="475"/>
      <c r="CZ138" s="450"/>
      <c r="DA138" s="394"/>
      <c r="DB138" s="394"/>
      <c r="DC138" s="347"/>
      <c r="DD138" s="394"/>
      <c r="DE138" s="394"/>
      <c r="DF138" s="394"/>
      <c r="DG138" s="394"/>
      <c r="DH138" s="394"/>
    </row>
    <row r="139" spans="1:112" x14ac:dyDescent="0.25">
      <c r="A139" s="179">
        <v>436</v>
      </c>
      <c r="B139" s="181" t="s">
        <v>170</v>
      </c>
      <c r="C139" s="373">
        <v>2020</v>
      </c>
      <c r="D139" s="360">
        <v>21</v>
      </c>
      <c r="E139" s="213"/>
      <c r="G139" s="363">
        <v>721</v>
      </c>
      <c r="H139" s="363">
        <v>11866</v>
      </c>
      <c r="I139" s="349"/>
      <c r="J139" s="363">
        <v>5459</v>
      </c>
      <c r="K139" s="363">
        <v>157</v>
      </c>
      <c r="L139" s="363">
        <v>307</v>
      </c>
      <c r="M139" s="363">
        <v>5923</v>
      </c>
      <c r="N139" s="363">
        <v>6138</v>
      </c>
      <c r="O139" s="363">
        <v>1</v>
      </c>
      <c r="P139" s="363">
        <v>37</v>
      </c>
      <c r="Q139" s="363">
        <v>8</v>
      </c>
      <c r="R139" s="363">
        <v>5</v>
      </c>
      <c r="S139" s="363">
        <v>883</v>
      </c>
      <c r="U139" s="363">
        <v>577</v>
      </c>
      <c r="V139" s="363">
        <v>0</v>
      </c>
      <c r="W139" s="363">
        <v>0</v>
      </c>
      <c r="X139" s="363">
        <v>306</v>
      </c>
      <c r="Y139" s="363">
        <v>85</v>
      </c>
      <c r="Z139" s="363">
        <v>-300</v>
      </c>
      <c r="AA139" s="363">
        <v>0</v>
      </c>
      <c r="AB139" s="363">
        <v>91</v>
      </c>
      <c r="AD139" s="363">
        <v>672</v>
      </c>
      <c r="AG139" s="363">
        <v>-461</v>
      </c>
      <c r="AH139" s="349"/>
      <c r="AJ139" s="363">
        <v>1048</v>
      </c>
      <c r="AL139" s="363">
        <v>6942</v>
      </c>
      <c r="AN139" s="349"/>
      <c r="AO139" s="454">
        <v>2036</v>
      </c>
      <c r="AP139" s="478">
        <v>21</v>
      </c>
      <c r="AQ139" s="213"/>
      <c r="AS139" s="509">
        <v>724</v>
      </c>
      <c r="AT139" s="349">
        <v>12020</v>
      </c>
      <c r="AU139" s="480">
        <v>-11296</v>
      </c>
      <c r="AV139" s="199">
        <v>5412</v>
      </c>
      <c r="AW139" s="199">
        <v>172</v>
      </c>
      <c r="AX139" s="199">
        <v>277</v>
      </c>
      <c r="AY139" s="199">
        <v>5861</v>
      </c>
      <c r="AZ139" s="199">
        <v>6793</v>
      </c>
      <c r="BA139" s="181">
        <v>1</v>
      </c>
      <c r="BB139" s="511">
        <v>31</v>
      </c>
      <c r="BC139" s="181">
        <v>5</v>
      </c>
      <c r="BD139" s="181">
        <v>0</v>
      </c>
      <c r="BE139" s="199">
        <v>1333</v>
      </c>
      <c r="BG139" s="183">
        <v>1184</v>
      </c>
      <c r="BH139" s="183">
        <v>0</v>
      </c>
      <c r="BI139" s="183">
        <v>0</v>
      </c>
      <c r="BJ139" s="199">
        <v>149</v>
      </c>
      <c r="BK139" s="199">
        <v>85</v>
      </c>
      <c r="BL139" s="183">
        <v>-150</v>
      </c>
      <c r="BM139" s="183">
        <v>0</v>
      </c>
      <c r="BN139" s="199">
        <v>84</v>
      </c>
      <c r="BP139" s="199">
        <v>756</v>
      </c>
      <c r="BS139" s="211"/>
      <c r="BV139" s="514">
        <v>1056</v>
      </c>
      <c r="BX139" s="181">
        <v>5967</v>
      </c>
      <c r="BZ139" s="349"/>
      <c r="CB139" s="340"/>
      <c r="CC139" s="488">
        <v>21</v>
      </c>
      <c r="CD139" s="378"/>
      <c r="CE139" s="378"/>
      <c r="CF139" s="195"/>
      <c r="CG139" s="349"/>
      <c r="CI139" s="181">
        <v>4969</v>
      </c>
      <c r="CJ139" s="183">
        <v>0</v>
      </c>
      <c r="CK139" s="421">
        <v>6634.3447225459076</v>
      </c>
      <c r="CL139" s="494">
        <v>6883.8264522077861</v>
      </c>
      <c r="CM139" s="483">
        <v>3821.4567365141597</v>
      </c>
      <c r="CN139" s="483">
        <v>3746.4887737248187</v>
      </c>
      <c r="CO139" s="483">
        <v>3763.0809748042166</v>
      </c>
      <c r="CP139" s="433">
        <f t="shared" si="2"/>
        <v>-496.34472254590764</v>
      </c>
      <c r="CQ139" s="212"/>
      <c r="CR139" s="212">
        <v>-66</v>
      </c>
      <c r="CS139" s="212">
        <v>-550</v>
      </c>
      <c r="CT139" s="183">
        <v>0</v>
      </c>
      <c r="CU139" s="183">
        <v>91</v>
      </c>
      <c r="CV139" s="485">
        <v>0</v>
      </c>
      <c r="CX139" s="422"/>
      <c r="CY139" s="475"/>
      <c r="CZ139" s="450"/>
      <c r="DA139" s="394"/>
      <c r="DB139" s="394"/>
      <c r="DC139" s="347"/>
      <c r="DD139" s="394"/>
      <c r="DE139" s="394"/>
      <c r="DF139" s="394"/>
      <c r="DG139" s="394"/>
      <c r="DH139" s="394"/>
    </row>
    <row r="140" spans="1:112" x14ac:dyDescent="0.25">
      <c r="A140" s="179">
        <v>440</v>
      </c>
      <c r="B140" s="181" t="s">
        <v>171</v>
      </c>
      <c r="C140" s="373">
        <v>5417</v>
      </c>
      <c r="D140" s="360">
        <v>19.5</v>
      </c>
      <c r="E140" s="213"/>
      <c r="G140" s="363">
        <v>3815</v>
      </c>
      <c r="H140" s="363">
        <v>32421</v>
      </c>
      <c r="I140" s="349"/>
      <c r="J140" s="363">
        <v>14267</v>
      </c>
      <c r="K140" s="363">
        <v>348</v>
      </c>
      <c r="L140" s="363">
        <v>1154</v>
      </c>
      <c r="M140" s="363">
        <v>15769</v>
      </c>
      <c r="N140" s="363">
        <v>13142</v>
      </c>
      <c r="O140" s="363">
        <v>135</v>
      </c>
      <c r="P140" s="363">
        <v>0</v>
      </c>
      <c r="Q140" s="363">
        <v>330</v>
      </c>
      <c r="R140" s="363">
        <v>420</v>
      </c>
      <c r="S140" s="363">
        <v>350</v>
      </c>
      <c r="U140" s="363">
        <v>1670</v>
      </c>
      <c r="V140" s="363">
        <v>0</v>
      </c>
      <c r="W140" s="363">
        <v>0</v>
      </c>
      <c r="X140" s="363">
        <v>-1320</v>
      </c>
      <c r="Y140" s="363">
        <v>0</v>
      </c>
      <c r="Z140" s="363">
        <v>0</v>
      </c>
      <c r="AA140" s="363">
        <v>-2</v>
      </c>
      <c r="AB140" s="363">
        <v>-1322</v>
      </c>
      <c r="AD140" s="363">
        <v>14901</v>
      </c>
      <c r="AG140" s="363">
        <v>-990</v>
      </c>
      <c r="AH140" s="349"/>
      <c r="AJ140" s="363">
        <v>11699</v>
      </c>
      <c r="AL140" s="363">
        <v>25550</v>
      </c>
      <c r="AN140" s="349"/>
      <c r="AO140" s="454">
        <v>5534</v>
      </c>
      <c r="AP140" s="478">
        <v>19.5</v>
      </c>
      <c r="AQ140" s="213"/>
      <c r="AS140" s="509">
        <v>3674</v>
      </c>
      <c r="AT140" s="349">
        <v>32982</v>
      </c>
      <c r="AU140" s="480">
        <v>-29308</v>
      </c>
      <c r="AV140" s="199">
        <v>15436</v>
      </c>
      <c r="AW140" s="199">
        <v>410</v>
      </c>
      <c r="AX140" s="199">
        <v>1165</v>
      </c>
      <c r="AY140" s="199">
        <v>17011</v>
      </c>
      <c r="AZ140" s="199">
        <v>15527</v>
      </c>
      <c r="BA140" s="181">
        <v>125</v>
      </c>
      <c r="BB140" s="511">
        <v>3</v>
      </c>
      <c r="BC140" s="181">
        <v>205</v>
      </c>
      <c r="BD140" s="181">
        <v>487</v>
      </c>
      <c r="BE140" s="199">
        <v>3070</v>
      </c>
      <c r="BG140" s="183">
        <v>1548</v>
      </c>
      <c r="BH140" s="199">
        <v>0</v>
      </c>
      <c r="BI140" s="183">
        <v>0</v>
      </c>
      <c r="BJ140" s="199">
        <v>1522</v>
      </c>
      <c r="BK140" s="199">
        <v>0</v>
      </c>
      <c r="BL140" s="199">
        <v>0</v>
      </c>
      <c r="BM140" s="183">
        <v>0</v>
      </c>
      <c r="BN140" s="199">
        <v>1522</v>
      </c>
      <c r="BP140" s="199">
        <v>16423</v>
      </c>
      <c r="BS140" s="211"/>
      <c r="BV140" s="514">
        <v>12979</v>
      </c>
      <c r="BX140" s="181">
        <v>27550</v>
      </c>
      <c r="BZ140" s="349"/>
      <c r="CB140" s="340"/>
      <c r="CC140" s="488">
        <v>19.5</v>
      </c>
      <c r="CD140" s="378"/>
      <c r="CE140" s="378"/>
      <c r="CF140" s="195"/>
      <c r="CG140" s="349"/>
      <c r="CI140" s="181">
        <v>10541</v>
      </c>
      <c r="CJ140" s="183">
        <v>0</v>
      </c>
      <c r="CK140" s="421">
        <v>14985.272044993617</v>
      </c>
      <c r="CL140" s="494">
        <v>16799.330286378943</v>
      </c>
      <c r="CM140" s="483">
        <v>9655.0770409396664</v>
      </c>
      <c r="CN140" s="483">
        <v>9927.1564166381722</v>
      </c>
      <c r="CO140" s="483">
        <v>10426.733704357261</v>
      </c>
      <c r="CP140" s="433">
        <f t="shared" si="2"/>
        <v>-1843.2720449936169</v>
      </c>
      <c r="CQ140" s="212"/>
      <c r="CR140" s="212">
        <v>176</v>
      </c>
      <c r="CS140" s="212">
        <v>-5207</v>
      </c>
      <c r="CT140" s="183">
        <v>478</v>
      </c>
      <c r="CU140" s="183">
        <v>232</v>
      </c>
      <c r="CV140" s="485">
        <v>0</v>
      </c>
      <c r="CX140" s="422"/>
      <c r="CY140" s="475"/>
      <c r="CZ140" s="450"/>
      <c r="DA140" s="394"/>
      <c r="DB140" s="394"/>
      <c r="DC140" s="347"/>
      <c r="DD140" s="394"/>
      <c r="DE140" s="394"/>
      <c r="DF140" s="394"/>
      <c r="DG140" s="394"/>
      <c r="DH140" s="394"/>
    </row>
    <row r="141" spans="1:112" ht="12.5" x14ac:dyDescent="0.25">
      <c r="A141" s="179">
        <v>441</v>
      </c>
      <c r="B141" s="181" t="s">
        <v>172</v>
      </c>
      <c r="C141" s="373">
        <v>4636</v>
      </c>
      <c r="D141" s="360">
        <v>20.5</v>
      </c>
      <c r="E141" s="213"/>
      <c r="G141" s="363">
        <v>3010</v>
      </c>
      <c r="H141" s="363">
        <v>32439</v>
      </c>
      <c r="I141" s="349"/>
      <c r="J141" s="363">
        <v>13096</v>
      </c>
      <c r="K141" s="363">
        <v>2171</v>
      </c>
      <c r="L141" s="363">
        <v>1520</v>
      </c>
      <c r="M141" s="363">
        <v>16787</v>
      </c>
      <c r="N141" s="363">
        <v>12032</v>
      </c>
      <c r="O141" s="363">
        <v>101</v>
      </c>
      <c r="P141" s="363">
        <v>26</v>
      </c>
      <c r="Q141" s="363">
        <v>1379</v>
      </c>
      <c r="R141" s="363">
        <v>46</v>
      </c>
      <c r="S141" s="363">
        <v>798</v>
      </c>
      <c r="U141" s="363">
        <v>2201</v>
      </c>
      <c r="V141" s="363">
        <v>0</v>
      </c>
      <c r="W141" s="363">
        <v>0</v>
      </c>
      <c r="X141" s="363">
        <v>-1403</v>
      </c>
      <c r="Y141" s="363">
        <v>128</v>
      </c>
      <c r="Z141" s="363">
        <v>600</v>
      </c>
      <c r="AA141" s="363">
        <v>0</v>
      </c>
      <c r="AB141" s="363">
        <v>-675</v>
      </c>
      <c r="AD141" s="363">
        <v>12716</v>
      </c>
      <c r="AG141" s="363">
        <v>-3347</v>
      </c>
      <c r="AH141" s="349"/>
      <c r="AJ141" s="363">
        <v>9791</v>
      </c>
      <c r="AL141" s="363">
        <v>3780</v>
      </c>
      <c r="AN141" s="349"/>
      <c r="AO141" s="454">
        <v>4543</v>
      </c>
      <c r="AP141" s="478">
        <v>20.5</v>
      </c>
      <c r="AQ141" s="213"/>
      <c r="AS141" s="509">
        <v>3089</v>
      </c>
      <c r="AT141" s="349">
        <v>33595</v>
      </c>
      <c r="AU141" s="480">
        <v>-30506</v>
      </c>
      <c r="AV141" s="199">
        <v>13712</v>
      </c>
      <c r="AW141" s="199">
        <v>2281</v>
      </c>
      <c r="AX141" s="199">
        <v>1472</v>
      </c>
      <c r="AY141" s="199">
        <v>17465</v>
      </c>
      <c r="AZ141" s="199">
        <v>13898</v>
      </c>
      <c r="BA141" s="181">
        <v>262</v>
      </c>
      <c r="BB141" s="512">
        <v>30</v>
      </c>
      <c r="BC141" s="181">
        <v>899</v>
      </c>
      <c r="BD141" s="181">
        <v>332</v>
      </c>
      <c r="BE141" s="199">
        <v>1656</v>
      </c>
      <c r="BG141" s="183">
        <v>2287</v>
      </c>
      <c r="BH141" s="183">
        <v>0</v>
      </c>
      <c r="BI141" s="183">
        <v>0</v>
      </c>
      <c r="BJ141" s="199">
        <v>-631</v>
      </c>
      <c r="BK141" s="183">
        <v>742</v>
      </c>
      <c r="BL141" s="183">
        <v>0</v>
      </c>
      <c r="BM141" s="183">
        <v>0</v>
      </c>
      <c r="BN141" s="199">
        <v>111</v>
      </c>
      <c r="BP141" s="199">
        <v>12827</v>
      </c>
      <c r="BS141" s="211"/>
      <c r="BV141" s="514">
        <v>12610</v>
      </c>
      <c r="BX141" s="181">
        <v>4141</v>
      </c>
      <c r="BZ141" s="349"/>
      <c r="CB141" s="340"/>
      <c r="CC141" s="488">
        <v>20.5</v>
      </c>
      <c r="CD141" s="378"/>
      <c r="CE141" s="378"/>
      <c r="CF141" s="195"/>
      <c r="CG141" s="349"/>
      <c r="CI141" s="181">
        <v>10655</v>
      </c>
      <c r="CJ141" s="183">
        <v>0</v>
      </c>
      <c r="CK141" s="421">
        <v>13502.5618738712</v>
      </c>
      <c r="CL141" s="494">
        <v>13348.951377736286</v>
      </c>
      <c r="CM141" s="483">
        <v>761.5980711543499</v>
      </c>
      <c r="CN141" s="483">
        <v>514.7805799122799</v>
      </c>
      <c r="CO141" s="483">
        <v>257.60256554661851</v>
      </c>
      <c r="CP141" s="433">
        <f t="shared" si="2"/>
        <v>-1470.5618738712001</v>
      </c>
      <c r="CQ141" s="212"/>
      <c r="CR141" s="212">
        <v>945</v>
      </c>
      <c r="CS141" s="212">
        <v>-711</v>
      </c>
      <c r="CT141" s="183">
        <v>52</v>
      </c>
      <c r="CU141" s="183">
        <v>203</v>
      </c>
      <c r="CV141" s="485">
        <v>9</v>
      </c>
      <c r="CX141" s="422"/>
      <c r="CY141" s="475"/>
      <c r="CZ141" s="450"/>
      <c r="DA141" s="394"/>
      <c r="DB141" s="394"/>
      <c r="DC141" s="347"/>
      <c r="DD141" s="394"/>
      <c r="DE141" s="394"/>
      <c r="DF141" s="394"/>
      <c r="DG141" s="394"/>
      <c r="DH141" s="394"/>
    </row>
    <row r="142" spans="1:112" x14ac:dyDescent="0.25">
      <c r="A142" s="179">
        <v>475</v>
      </c>
      <c r="B142" s="181" t="s">
        <v>173</v>
      </c>
      <c r="C142" s="373">
        <v>5475</v>
      </c>
      <c r="D142" s="360">
        <v>21.5</v>
      </c>
      <c r="E142" s="213"/>
      <c r="G142" s="363">
        <v>8771</v>
      </c>
      <c r="H142" s="363">
        <v>44277</v>
      </c>
      <c r="I142" s="349"/>
      <c r="J142" s="363">
        <v>17612</v>
      </c>
      <c r="K142" s="363">
        <v>1093</v>
      </c>
      <c r="L142" s="363">
        <v>1441</v>
      </c>
      <c r="M142" s="363">
        <v>20146</v>
      </c>
      <c r="N142" s="363">
        <v>16116</v>
      </c>
      <c r="O142" s="363">
        <v>15</v>
      </c>
      <c r="P142" s="363">
        <v>98</v>
      </c>
      <c r="Q142" s="363">
        <v>62</v>
      </c>
      <c r="R142" s="363">
        <v>1</v>
      </c>
      <c r="S142" s="363">
        <v>734</v>
      </c>
      <c r="U142" s="363">
        <v>1989</v>
      </c>
      <c r="V142" s="363">
        <v>0</v>
      </c>
      <c r="W142" s="363">
        <v>0</v>
      </c>
      <c r="X142" s="363">
        <v>-1255</v>
      </c>
      <c r="Y142" s="363">
        <v>113</v>
      </c>
      <c r="Z142" s="363">
        <v>0</v>
      </c>
      <c r="AA142" s="363">
        <v>0</v>
      </c>
      <c r="AB142" s="363">
        <v>-1142</v>
      </c>
      <c r="AD142" s="363">
        <v>2390</v>
      </c>
      <c r="AG142" s="363">
        <v>-5710</v>
      </c>
      <c r="AH142" s="349"/>
      <c r="AJ142" s="363">
        <v>684</v>
      </c>
      <c r="AL142" s="363">
        <v>28188</v>
      </c>
      <c r="AN142" s="349"/>
      <c r="AO142" s="454">
        <v>5451</v>
      </c>
      <c r="AP142" s="478">
        <v>21.5</v>
      </c>
      <c r="AQ142" s="213"/>
      <c r="AS142" s="509">
        <v>8637</v>
      </c>
      <c r="AT142" s="349">
        <v>42834</v>
      </c>
      <c r="AU142" s="480">
        <v>-34197</v>
      </c>
      <c r="AV142" s="199">
        <v>17682</v>
      </c>
      <c r="AW142" s="199">
        <v>1147</v>
      </c>
      <c r="AX142" s="199">
        <v>1331</v>
      </c>
      <c r="AY142" s="199">
        <v>20160</v>
      </c>
      <c r="AZ142" s="199">
        <v>18013</v>
      </c>
      <c r="BA142" s="181">
        <v>11</v>
      </c>
      <c r="BB142" s="511">
        <v>99</v>
      </c>
      <c r="BC142" s="181">
        <v>76</v>
      </c>
      <c r="BD142" s="181">
        <v>3</v>
      </c>
      <c r="BE142" s="199">
        <v>3961</v>
      </c>
      <c r="BG142" s="183">
        <v>2277</v>
      </c>
      <c r="BH142" s="183">
        <v>1686</v>
      </c>
      <c r="BI142" s="183">
        <v>0</v>
      </c>
      <c r="BJ142" s="199">
        <v>3370</v>
      </c>
      <c r="BK142" s="199">
        <v>103</v>
      </c>
      <c r="BL142" s="199">
        <v>0</v>
      </c>
      <c r="BM142" s="183">
        <v>0</v>
      </c>
      <c r="BN142" s="199">
        <v>3473</v>
      </c>
      <c r="BP142" s="199">
        <v>5596</v>
      </c>
      <c r="BS142" s="211"/>
      <c r="BV142" s="514">
        <v>4024</v>
      </c>
      <c r="BX142" s="181">
        <v>28185</v>
      </c>
      <c r="BZ142" s="349"/>
      <c r="CB142" s="340"/>
      <c r="CC142" s="488">
        <v>21.5</v>
      </c>
      <c r="CD142" s="378"/>
      <c r="CE142" s="378"/>
      <c r="CF142" s="195"/>
      <c r="CG142" s="349"/>
      <c r="CI142" s="181">
        <v>14643</v>
      </c>
      <c r="CJ142" s="183">
        <v>0</v>
      </c>
      <c r="CK142" s="421">
        <v>17678.994126419238</v>
      </c>
      <c r="CL142" s="494">
        <v>19183.870083542221</v>
      </c>
      <c r="CM142" s="483">
        <v>6042.2940434665652</v>
      </c>
      <c r="CN142" s="483">
        <v>6513.673420797727</v>
      </c>
      <c r="CO142" s="483">
        <v>6642.213519519526</v>
      </c>
      <c r="CP142" s="433">
        <f t="shared" si="2"/>
        <v>-1562.9941264192385</v>
      </c>
      <c r="CQ142" s="212"/>
      <c r="CR142" s="212">
        <v>-1714</v>
      </c>
      <c r="CS142" s="212">
        <v>-5409</v>
      </c>
      <c r="CT142" s="183">
        <v>1800</v>
      </c>
      <c r="CU142" s="183">
        <v>1831</v>
      </c>
      <c r="CV142" s="485">
        <v>657</v>
      </c>
      <c r="CX142" s="422"/>
      <c r="CY142" s="475"/>
      <c r="CZ142" s="450"/>
      <c r="DA142" s="394"/>
      <c r="DB142" s="394"/>
      <c r="DC142" s="347"/>
      <c r="DD142" s="394"/>
      <c r="DE142" s="394"/>
      <c r="DF142" s="394"/>
      <c r="DG142" s="394"/>
      <c r="DH142" s="394"/>
    </row>
    <row r="143" spans="1:112" x14ac:dyDescent="0.25">
      <c r="A143" s="179">
        <v>480</v>
      </c>
      <c r="B143" s="181" t="s">
        <v>174</v>
      </c>
      <c r="C143" s="373">
        <v>2013</v>
      </c>
      <c r="D143" s="360">
        <v>20.75</v>
      </c>
      <c r="E143" s="213"/>
      <c r="G143" s="363">
        <v>1910</v>
      </c>
      <c r="H143" s="363">
        <v>12724</v>
      </c>
      <c r="I143" s="349"/>
      <c r="J143" s="363">
        <v>6005</v>
      </c>
      <c r="K143" s="363">
        <v>292</v>
      </c>
      <c r="L143" s="363">
        <v>375</v>
      </c>
      <c r="M143" s="363">
        <v>6672</v>
      </c>
      <c r="N143" s="363">
        <v>4534</v>
      </c>
      <c r="O143" s="363">
        <v>3</v>
      </c>
      <c r="P143" s="363">
        <v>13</v>
      </c>
      <c r="Q143" s="363">
        <v>4</v>
      </c>
      <c r="R143" s="363">
        <v>0</v>
      </c>
      <c r="S143" s="363">
        <v>386</v>
      </c>
      <c r="U143" s="363">
        <v>442</v>
      </c>
      <c r="V143" s="363">
        <v>0</v>
      </c>
      <c r="W143" s="363">
        <v>0</v>
      </c>
      <c r="X143" s="363">
        <v>-56</v>
      </c>
      <c r="Y143" s="363">
        <v>13</v>
      </c>
      <c r="Z143" s="363">
        <v>0</v>
      </c>
      <c r="AA143" s="363">
        <v>0</v>
      </c>
      <c r="AB143" s="363">
        <v>-43</v>
      </c>
      <c r="AD143" s="363">
        <v>2871</v>
      </c>
      <c r="AG143" s="363">
        <v>-464</v>
      </c>
      <c r="AH143" s="349"/>
      <c r="AJ143" s="363">
        <v>1890</v>
      </c>
      <c r="AL143" s="363">
        <v>2879</v>
      </c>
      <c r="AN143" s="349"/>
      <c r="AO143" s="454">
        <v>1999</v>
      </c>
      <c r="AP143" s="478">
        <v>20.75</v>
      </c>
      <c r="AQ143" s="213"/>
      <c r="AS143" s="509">
        <v>1922</v>
      </c>
      <c r="AT143" s="349">
        <v>12547</v>
      </c>
      <c r="AU143" s="480">
        <v>-10625</v>
      </c>
      <c r="AV143" s="199">
        <v>6091</v>
      </c>
      <c r="AW143" s="199">
        <v>316</v>
      </c>
      <c r="AX143" s="199">
        <v>347</v>
      </c>
      <c r="AY143" s="199">
        <v>6754</v>
      </c>
      <c r="AZ143" s="199">
        <v>5035</v>
      </c>
      <c r="BA143" s="181">
        <v>3</v>
      </c>
      <c r="BB143" s="511">
        <v>13</v>
      </c>
      <c r="BC143" s="181">
        <v>5</v>
      </c>
      <c r="BD143" s="181">
        <v>0</v>
      </c>
      <c r="BE143" s="199">
        <v>1159</v>
      </c>
      <c r="BG143" s="183">
        <v>464</v>
      </c>
      <c r="BH143" s="183">
        <v>0</v>
      </c>
      <c r="BI143" s="183">
        <v>56</v>
      </c>
      <c r="BJ143" s="199">
        <v>639</v>
      </c>
      <c r="BK143" s="199">
        <v>13</v>
      </c>
      <c r="BL143" s="183">
        <v>-250</v>
      </c>
      <c r="BM143" s="183">
        <v>0</v>
      </c>
      <c r="BN143" s="199">
        <v>402</v>
      </c>
      <c r="BP143" s="199">
        <v>3274</v>
      </c>
      <c r="BS143" s="211"/>
      <c r="BV143" s="514">
        <v>2195</v>
      </c>
      <c r="BX143" s="181">
        <v>2489</v>
      </c>
      <c r="BZ143" s="349"/>
      <c r="CB143" s="340"/>
      <c r="CC143" s="488">
        <v>20.75</v>
      </c>
      <c r="CD143" s="378"/>
      <c r="CE143" s="378"/>
      <c r="CF143" s="195"/>
      <c r="CG143" s="349"/>
      <c r="CI143" s="181">
        <v>4007</v>
      </c>
      <c r="CJ143" s="183">
        <v>0</v>
      </c>
      <c r="CK143" s="421">
        <v>4749.2306058414897</v>
      </c>
      <c r="CL143" s="494">
        <v>4949.4074058303713</v>
      </c>
      <c r="CM143" s="483">
        <v>2153.5761566984133</v>
      </c>
      <c r="CN143" s="483">
        <v>2182.2884090825237</v>
      </c>
      <c r="CO143" s="483">
        <v>2089.6669708579152</v>
      </c>
      <c r="CP143" s="433">
        <f t="shared" si="2"/>
        <v>-215.23060584148971</v>
      </c>
      <c r="CQ143" s="212"/>
      <c r="CR143" s="212">
        <v>0</v>
      </c>
      <c r="CS143" s="212">
        <v>-746</v>
      </c>
      <c r="CT143" s="183">
        <v>0</v>
      </c>
      <c r="CU143" s="183">
        <v>56</v>
      </c>
      <c r="CV143" s="485">
        <v>0</v>
      </c>
      <c r="CX143" s="422"/>
      <c r="CY143" s="475"/>
      <c r="CZ143" s="450"/>
      <c r="DA143" s="394"/>
      <c r="DB143" s="394"/>
      <c r="DC143" s="347"/>
      <c r="DD143" s="394"/>
      <c r="DE143" s="394"/>
      <c r="DF143" s="394"/>
      <c r="DG143" s="394"/>
      <c r="DH143" s="394"/>
    </row>
    <row r="144" spans="1:112" x14ac:dyDescent="0.25">
      <c r="A144" s="179">
        <v>481</v>
      </c>
      <c r="B144" s="181" t="s">
        <v>175</v>
      </c>
      <c r="C144" s="373">
        <v>9534</v>
      </c>
      <c r="D144" s="360">
        <v>20.75</v>
      </c>
      <c r="E144" s="213"/>
      <c r="G144" s="363">
        <v>4902</v>
      </c>
      <c r="H144" s="363">
        <v>51881</v>
      </c>
      <c r="I144" s="349"/>
      <c r="J144" s="363">
        <v>36704</v>
      </c>
      <c r="K144" s="363">
        <v>1631</v>
      </c>
      <c r="L144" s="363">
        <v>1980</v>
      </c>
      <c r="M144" s="363">
        <v>40315</v>
      </c>
      <c r="N144" s="363">
        <v>7479</v>
      </c>
      <c r="O144" s="363">
        <v>96</v>
      </c>
      <c r="P144" s="363">
        <v>153</v>
      </c>
      <c r="Q144" s="363">
        <v>84</v>
      </c>
      <c r="R144" s="363">
        <v>1</v>
      </c>
      <c r="S144" s="363">
        <v>841</v>
      </c>
      <c r="U144" s="363">
        <v>2341</v>
      </c>
      <c r="V144" s="363">
        <v>0</v>
      </c>
      <c r="W144" s="363">
        <v>0</v>
      </c>
      <c r="X144" s="363">
        <v>-1500</v>
      </c>
      <c r="Y144" s="363">
        <v>86</v>
      </c>
      <c r="Z144" s="363">
        <v>0</v>
      </c>
      <c r="AA144" s="363">
        <v>0</v>
      </c>
      <c r="AB144" s="363">
        <v>-1414</v>
      </c>
      <c r="AD144" s="363">
        <v>857</v>
      </c>
      <c r="AG144" s="363">
        <v>-9024</v>
      </c>
      <c r="AH144" s="349"/>
      <c r="AJ144" s="363">
        <v>2211</v>
      </c>
      <c r="AL144" s="363">
        <v>52574</v>
      </c>
      <c r="AN144" s="349"/>
      <c r="AO144" s="454">
        <v>9543</v>
      </c>
      <c r="AP144" s="478">
        <v>20.75</v>
      </c>
      <c r="AQ144" s="213"/>
      <c r="AS144" s="509">
        <v>3859</v>
      </c>
      <c r="AT144" s="349">
        <v>52423</v>
      </c>
      <c r="AU144" s="480">
        <v>-48564</v>
      </c>
      <c r="AV144" s="199">
        <v>39634</v>
      </c>
      <c r="AW144" s="199">
        <v>1815</v>
      </c>
      <c r="AX144" s="199">
        <v>1792</v>
      </c>
      <c r="AY144" s="199">
        <v>43241</v>
      </c>
      <c r="AZ144" s="199">
        <v>11699</v>
      </c>
      <c r="BA144" s="181">
        <v>88</v>
      </c>
      <c r="BB144" s="511">
        <v>152</v>
      </c>
      <c r="BC144" s="181">
        <v>99</v>
      </c>
      <c r="BD144" s="181">
        <v>4</v>
      </c>
      <c r="BE144" s="199">
        <v>6407</v>
      </c>
      <c r="BG144" s="183">
        <v>3212</v>
      </c>
      <c r="BH144" s="183">
        <v>100</v>
      </c>
      <c r="BI144" s="183">
        <v>0</v>
      </c>
      <c r="BJ144" s="199">
        <v>3295</v>
      </c>
      <c r="BK144" s="183">
        <v>86</v>
      </c>
      <c r="BL144" s="183">
        <v>0</v>
      </c>
      <c r="BM144" s="183">
        <v>0</v>
      </c>
      <c r="BN144" s="199">
        <v>3381</v>
      </c>
      <c r="BP144" s="199">
        <v>4238</v>
      </c>
      <c r="BS144" s="211"/>
      <c r="BV144" s="514">
        <v>3810</v>
      </c>
      <c r="BX144" s="181">
        <v>48154</v>
      </c>
      <c r="BZ144" s="349"/>
      <c r="CB144" s="340"/>
      <c r="CC144" s="488">
        <v>20.75</v>
      </c>
      <c r="CD144" s="378"/>
      <c r="CE144" s="378"/>
      <c r="CF144" s="195"/>
      <c r="CG144" s="349"/>
      <c r="CI144" s="181">
        <v>9002</v>
      </c>
      <c r="CJ144" s="183">
        <v>0</v>
      </c>
      <c r="CK144" s="421">
        <v>9121.064300259377</v>
      </c>
      <c r="CL144" s="494">
        <v>9395.6966717442756</v>
      </c>
      <c r="CM144" s="483">
        <v>4606.1324952671639</v>
      </c>
      <c r="CN144" s="483">
        <v>3835.0111008084918</v>
      </c>
      <c r="CO144" s="483">
        <v>3702.8252078426217</v>
      </c>
      <c r="CP144" s="433">
        <f t="shared" si="2"/>
        <v>-1642.064300259377</v>
      </c>
      <c r="CQ144" s="212"/>
      <c r="CR144" s="212">
        <v>-601</v>
      </c>
      <c r="CS144" s="212">
        <v>-2124</v>
      </c>
      <c r="CT144" s="183">
        <v>220</v>
      </c>
      <c r="CU144" s="183">
        <v>835</v>
      </c>
      <c r="CV144" s="485">
        <v>740</v>
      </c>
      <c r="CX144" s="422"/>
      <c r="CY144" s="475"/>
      <c r="CZ144" s="450"/>
      <c r="DA144" s="394"/>
      <c r="DB144" s="394"/>
      <c r="DC144" s="347"/>
      <c r="DD144" s="394"/>
      <c r="DE144" s="394"/>
      <c r="DF144" s="394"/>
      <c r="DG144" s="394"/>
      <c r="DH144" s="394"/>
    </row>
    <row r="145" spans="1:112" x14ac:dyDescent="0.25">
      <c r="A145" s="179">
        <v>483</v>
      </c>
      <c r="B145" s="181" t="s">
        <v>176</v>
      </c>
      <c r="C145" s="373">
        <v>1089</v>
      </c>
      <c r="D145" s="360">
        <v>22</v>
      </c>
      <c r="E145" s="213"/>
      <c r="G145" s="363">
        <v>1626</v>
      </c>
      <c r="H145" s="363">
        <v>8987</v>
      </c>
      <c r="I145" s="349"/>
      <c r="J145" s="363">
        <v>2207</v>
      </c>
      <c r="K145" s="363">
        <v>114</v>
      </c>
      <c r="L145" s="363">
        <v>336</v>
      </c>
      <c r="M145" s="363">
        <v>2657</v>
      </c>
      <c r="N145" s="363">
        <v>4190</v>
      </c>
      <c r="O145" s="363">
        <v>1</v>
      </c>
      <c r="P145" s="363">
        <v>20</v>
      </c>
      <c r="Q145" s="363">
        <v>95</v>
      </c>
      <c r="R145" s="363">
        <v>-46</v>
      </c>
      <c r="S145" s="363">
        <v>-392</v>
      </c>
      <c r="U145" s="363">
        <v>399</v>
      </c>
      <c r="V145" s="363">
        <v>0</v>
      </c>
      <c r="W145" s="363">
        <v>0</v>
      </c>
      <c r="X145" s="363">
        <v>-791</v>
      </c>
      <c r="Y145" s="363">
        <v>0</v>
      </c>
      <c r="Z145" s="363">
        <v>0</v>
      </c>
      <c r="AA145" s="363">
        <v>0</v>
      </c>
      <c r="AB145" s="363">
        <v>-791</v>
      </c>
      <c r="AD145" s="363">
        <v>1781</v>
      </c>
      <c r="AG145" s="363">
        <v>-71</v>
      </c>
      <c r="AH145" s="349"/>
      <c r="AJ145" s="363">
        <v>2807</v>
      </c>
      <c r="AL145" s="363">
        <v>4011</v>
      </c>
      <c r="AN145" s="349"/>
      <c r="AO145" s="454">
        <v>1078</v>
      </c>
      <c r="AP145" s="478">
        <v>22</v>
      </c>
      <c r="AQ145" s="213"/>
      <c r="AS145" s="509">
        <v>1651</v>
      </c>
      <c r="AT145" s="349">
        <v>8439</v>
      </c>
      <c r="AU145" s="480">
        <v>-6788</v>
      </c>
      <c r="AV145" s="199">
        <v>2300</v>
      </c>
      <c r="AW145" s="199">
        <v>138</v>
      </c>
      <c r="AX145" s="199">
        <v>298</v>
      </c>
      <c r="AY145" s="199">
        <v>2736</v>
      </c>
      <c r="AZ145" s="199">
        <v>4682</v>
      </c>
      <c r="BA145" s="181">
        <v>1</v>
      </c>
      <c r="BB145" s="511">
        <v>14</v>
      </c>
      <c r="BC145" s="181">
        <v>97</v>
      </c>
      <c r="BD145" s="181">
        <v>39</v>
      </c>
      <c r="BE145" s="199">
        <v>675</v>
      </c>
      <c r="BG145" s="183">
        <v>397</v>
      </c>
      <c r="BH145" s="199">
        <v>0</v>
      </c>
      <c r="BI145" s="183">
        <v>0</v>
      </c>
      <c r="BJ145" s="199">
        <v>278</v>
      </c>
      <c r="BK145" s="199">
        <v>0</v>
      </c>
      <c r="BL145" s="183">
        <v>0</v>
      </c>
      <c r="BM145" s="183">
        <v>0</v>
      </c>
      <c r="BN145" s="199">
        <v>278</v>
      </c>
      <c r="BP145" s="199">
        <v>2059</v>
      </c>
      <c r="BS145" s="211"/>
      <c r="BV145" s="514">
        <v>3650</v>
      </c>
      <c r="BX145" s="181">
        <v>3933</v>
      </c>
      <c r="BZ145" s="349"/>
      <c r="CB145" s="340"/>
      <c r="CC145" s="488">
        <v>22</v>
      </c>
      <c r="CD145" s="378"/>
      <c r="CE145" s="378"/>
      <c r="CF145" s="195"/>
      <c r="CG145" s="349"/>
      <c r="CI145" s="181">
        <v>3996</v>
      </c>
      <c r="CJ145" s="183">
        <v>0</v>
      </c>
      <c r="CK145" s="421">
        <v>4512.8899537827238</v>
      </c>
      <c r="CL145" s="494">
        <v>4614.5348319533214</v>
      </c>
      <c r="CM145" s="483">
        <v>1687.9102683515137</v>
      </c>
      <c r="CN145" s="483">
        <v>1650.1731192942077</v>
      </c>
      <c r="CO145" s="483">
        <v>1663.8973846302345</v>
      </c>
      <c r="CP145" s="433">
        <f t="shared" si="2"/>
        <v>-322.88995378272375</v>
      </c>
      <c r="CQ145" s="212"/>
      <c r="CR145" s="212">
        <v>0</v>
      </c>
      <c r="CS145" s="212">
        <v>-49</v>
      </c>
      <c r="CT145" s="183">
        <v>0</v>
      </c>
      <c r="CU145" s="183">
        <v>153</v>
      </c>
      <c r="CV145" s="485">
        <v>1</v>
      </c>
      <c r="CX145" s="422"/>
      <c r="CY145" s="475"/>
      <c r="CZ145" s="450"/>
      <c r="DA145" s="394"/>
      <c r="DB145" s="394"/>
      <c r="DC145" s="347"/>
      <c r="DD145" s="394"/>
      <c r="DE145" s="394"/>
      <c r="DF145" s="394"/>
      <c r="DG145" s="394"/>
      <c r="DH145" s="394"/>
    </row>
    <row r="146" spans="1:112" x14ac:dyDescent="0.25">
      <c r="A146" s="179">
        <v>484</v>
      </c>
      <c r="B146" s="181" t="s">
        <v>177</v>
      </c>
      <c r="C146" s="373">
        <v>3067</v>
      </c>
      <c r="D146" s="360">
        <v>20.5</v>
      </c>
      <c r="E146" s="213"/>
      <c r="G146" s="363">
        <v>3841</v>
      </c>
      <c r="H146" s="363">
        <v>25213</v>
      </c>
      <c r="I146" s="349"/>
      <c r="J146" s="363">
        <v>7957</v>
      </c>
      <c r="K146" s="363">
        <v>1032</v>
      </c>
      <c r="L146" s="363">
        <v>1023</v>
      </c>
      <c r="M146" s="363">
        <v>10012</v>
      </c>
      <c r="N146" s="363">
        <v>11582</v>
      </c>
      <c r="O146" s="363">
        <v>34</v>
      </c>
      <c r="P146" s="363">
        <v>6</v>
      </c>
      <c r="Q146" s="363">
        <v>87</v>
      </c>
      <c r="R146" s="363">
        <v>2</v>
      </c>
      <c r="S146" s="363">
        <v>335</v>
      </c>
      <c r="U146" s="363">
        <v>1322</v>
      </c>
      <c r="V146" s="363">
        <v>0</v>
      </c>
      <c r="W146" s="363">
        <v>0</v>
      </c>
      <c r="X146" s="363">
        <v>-987</v>
      </c>
      <c r="Y146" s="363">
        <v>0</v>
      </c>
      <c r="Z146" s="363">
        <v>0</v>
      </c>
      <c r="AA146" s="363">
        <v>0</v>
      </c>
      <c r="AB146" s="363">
        <v>-987</v>
      </c>
      <c r="AD146" s="363">
        <v>4883</v>
      </c>
      <c r="AG146" s="363">
        <v>-2606</v>
      </c>
      <c r="AH146" s="349"/>
      <c r="AJ146" s="363">
        <v>1354</v>
      </c>
      <c r="AL146" s="363">
        <v>3418</v>
      </c>
      <c r="AN146" s="349"/>
      <c r="AO146" s="454">
        <v>3066</v>
      </c>
      <c r="AP146" s="478">
        <v>20.5</v>
      </c>
      <c r="AQ146" s="213"/>
      <c r="AS146" s="509">
        <v>3799</v>
      </c>
      <c r="AT146" s="349">
        <v>25017</v>
      </c>
      <c r="AU146" s="480">
        <v>-21218</v>
      </c>
      <c r="AV146" s="199">
        <v>8160</v>
      </c>
      <c r="AW146" s="199">
        <v>2040</v>
      </c>
      <c r="AX146" s="199">
        <v>1097</v>
      </c>
      <c r="AY146" s="199">
        <v>11297</v>
      </c>
      <c r="AZ146" s="199">
        <v>12248</v>
      </c>
      <c r="BA146" s="181">
        <v>21</v>
      </c>
      <c r="BB146" s="511">
        <v>12</v>
      </c>
      <c r="BC146" s="181">
        <v>21</v>
      </c>
      <c r="BD146" s="181">
        <v>0</v>
      </c>
      <c r="BE146" s="199">
        <v>2357</v>
      </c>
      <c r="BG146" s="183">
        <v>1337</v>
      </c>
      <c r="BH146" s="183">
        <v>0</v>
      </c>
      <c r="BI146" s="183">
        <v>0</v>
      </c>
      <c r="BJ146" s="199">
        <v>1020</v>
      </c>
      <c r="BK146" s="199">
        <v>0</v>
      </c>
      <c r="BL146" s="183">
        <v>0</v>
      </c>
      <c r="BM146" s="183">
        <v>0</v>
      </c>
      <c r="BN146" s="199">
        <v>1020</v>
      </c>
      <c r="BP146" s="199">
        <v>5902</v>
      </c>
      <c r="BS146" s="211"/>
      <c r="BV146" s="514">
        <v>2451</v>
      </c>
      <c r="BX146" s="181">
        <v>3149</v>
      </c>
      <c r="BZ146" s="349"/>
      <c r="CB146" s="340"/>
      <c r="CC146" s="488">
        <v>20.5</v>
      </c>
      <c r="CD146" s="378"/>
      <c r="CE146" s="378"/>
      <c r="CF146" s="195"/>
      <c r="CG146" s="349"/>
      <c r="CI146" s="181">
        <v>11004</v>
      </c>
      <c r="CJ146" s="183">
        <v>0</v>
      </c>
      <c r="CK146" s="421">
        <v>11810.004765480166</v>
      </c>
      <c r="CL146" s="494">
        <v>11287.776202281228</v>
      </c>
      <c r="CM146" s="483">
        <v>663.27700722755083</v>
      </c>
      <c r="CN146" s="483">
        <v>918.29845221197161</v>
      </c>
      <c r="CO146" s="483">
        <v>875.50080965404368</v>
      </c>
      <c r="CP146" s="433">
        <f t="shared" si="2"/>
        <v>-228.00476548016559</v>
      </c>
      <c r="CQ146" s="212"/>
      <c r="CR146" s="212">
        <v>-71</v>
      </c>
      <c r="CS146" s="212">
        <v>-1360</v>
      </c>
      <c r="CT146" s="183">
        <v>38</v>
      </c>
      <c r="CU146" s="183">
        <v>2680</v>
      </c>
      <c r="CV146" s="485">
        <v>9</v>
      </c>
      <c r="CX146" s="422"/>
      <c r="CY146" s="475"/>
      <c r="CZ146" s="450"/>
      <c r="DA146" s="394"/>
      <c r="DB146" s="394"/>
      <c r="DC146" s="347"/>
      <c r="DD146" s="394"/>
      <c r="DE146" s="394"/>
      <c r="DF146" s="394"/>
      <c r="DG146" s="394"/>
      <c r="DH146" s="394"/>
    </row>
    <row r="147" spans="1:112" x14ac:dyDescent="0.25">
      <c r="A147" s="179">
        <v>489</v>
      </c>
      <c r="B147" s="181" t="s">
        <v>178</v>
      </c>
      <c r="C147" s="373">
        <v>1857</v>
      </c>
      <c r="D147" s="360">
        <v>20.5</v>
      </c>
      <c r="E147" s="213"/>
      <c r="G147" s="363">
        <v>2970</v>
      </c>
      <c r="H147" s="363">
        <v>15453</v>
      </c>
      <c r="I147" s="349"/>
      <c r="J147" s="363">
        <v>4591</v>
      </c>
      <c r="K147" s="363">
        <v>796</v>
      </c>
      <c r="L147" s="363">
        <v>495</v>
      </c>
      <c r="M147" s="363">
        <v>5882</v>
      </c>
      <c r="N147" s="363">
        <v>7775</v>
      </c>
      <c r="O147" s="363">
        <v>16</v>
      </c>
      <c r="P147" s="363">
        <v>32</v>
      </c>
      <c r="Q147" s="363">
        <v>21</v>
      </c>
      <c r="R147" s="363">
        <v>2</v>
      </c>
      <c r="S147" s="363">
        <v>1177</v>
      </c>
      <c r="U147" s="363">
        <v>913</v>
      </c>
      <c r="V147" s="363">
        <v>0</v>
      </c>
      <c r="W147" s="363">
        <v>0</v>
      </c>
      <c r="X147" s="363">
        <v>264</v>
      </c>
      <c r="Y147" s="363">
        <v>0</v>
      </c>
      <c r="Z147" s="363">
        <v>0</v>
      </c>
      <c r="AA147" s="363">
        <v>0</v>
      </c>
      <c r="AB147" s="363">
        <v>264</v>
      </c>
      <c r="AD147" s="363">
        <v>7646</v>
      </c>
      <c r="AG147" s="363">
        <v>-569</v>
      </c>
      <c r="AH147" s="349"/>
      <c r="AJ147" s="363">
        <v>1458</v>
      </c>
      <c r="AL147" s="363">
        <v>9379</v>
      </c>
      <c r="AN147" s="349"/>
      <c r="AO147" s="454">
        <v>1868</v>
      </c>
      <c r="AP147" s="478">
        <v>20.5</v>
      </c>
      <c r="AQ147" s="213"/>
      <c r="AS147" s="509">
        <v>3969</v>
      </c>
      <c r="AT147" s="349">
        <v>15961</v>
      </c>
      <c r="AU147" s="480">
        <v>-11992</v>
      </c>
      <c r="AV147" s="199">
        <v>4551</v>
      </c>
      <c r="AW147" s="199">
        <v>850</v>
      </c>
      <c r="AX147" s="199">
        <v>442</v>
      </c>
      <c r="AY147" s="199">
        <v>5843</v>
      </c>
      <c r="AZ147" s="199">
        <v>8135</v>
      </c>
      <c r="BA147" s="181">
        <v>10</v>
      </c>
      <c r="BB147" s="511">
        <v>30</v>
      </c>
      <c r="BC147" s="181">
        <v>22</v>
      </c>
      <c r="BD147" s="181">
        <v>3</v>
      </c>
      <c r="BE147" s="199">
        <v>1985</v>
      </c>
      <c r="BG147" s="183">
        <v>1199</v>
      </c>
      <c r="BH147" s="183">
        <v>0</v>
      </c>
      <c r="BI147" s="183">
        <v>0</v>
      </c>
      <c r="BJ147" s="199">
        <v>786</v>
      </c>
      <c r="BK147" s="183">
        <v>0</v>
      </c>
      <c r="BL147" s="183">
        <v>0</v>
      </c>
      <c r="BM147" s="183">
        <v>0</v>
      </c>
      <c r="BN147" s="199">
        <v>786</v>
      </c>
      <c r="BP147" s="199">
        <v>8432</v>
      </c>
      <c r="BS147" s="211"/>
      <c r="BV147" s="514">
        <v>3180</v>
      </c>
      <c r="BX147" s="181">
        <v>8815</v>
      </c>
      <c r="BZ147" s="349"/>
      <c r="CB147" s="340"/>
      <c r="CC147" s="488">
        <v>20.5</v>
      </c>
      <c r="CD147" s="378"/>
      <c r="CE147" s="378"/>
      <c r="CF147" s="195"/>
      <c r="CG147" s="349"/>
      <c r="CI147" s="181">
        <v>6902</v>
      </c>
      <c r="CJ147" s="183">
        <v>0</v>
      </c>
      <c r="CK147" s="421">
        <v>7959.1943996909094</v>
      </c>
      <c r="CL147" s="494">
        <v>7892.2964059891628</v>
      </c>
      <c r="CM147" s="483">
        <v>2906.1726414591617</v>
      </c>
      <c r="CN147" s="483">
        <v>2888.0354957849559</v>
      </c>
      <c r="CO147" s="483">
        <v>2765.823698940736</v>
      </c>
      <c r="CP147" s="433">
        <f t="shared" si="2"/>
        <v>-184.19439969090945</v>
      </c>
      <c r="CQ147" s="212"/>
      <c r="CR147" s="212">
        <v>320</v>
      </c>
      <c r="CS147" s="212">
        <v>-401</v>
      </c>
      <c r="CT147" s="183">
        <v>0</v>
      </c>
      <c r="CU147" s="183">
        <v>10</v>
      </c>
      <c r="CV147" s="485">
        <v>3</v>
      </c>
      <c r="CX147" s="422"/>
      <c r="CY147" s="475"/>
      <c r="CZ147" s="450"/>
      <c r="DA147" s="394"/>
      <c r="DB147" s="394"/>
      <c r="DC147" s="347"/>
      <c r="DD147" s="394"/>
      <c r="DE147" s="394"/>
      <c r="DF147" s="394"/>
      <c r="DG147" s="394"/>
      <c r="DH147" s="394"/>
    </row>
    <row r="148" spans="1:112" x14ac:dyDescent="0.25">
      <c r="A148" s="179">
        <v>491</v>
      </c>
      <c r="B148" s="181" t="s">
        <v>179</v>
      </c>
      <c r="C148" s="373">
        <v>53134</v>
      </c>
      <c r="D148" s="360">
        <v>20.5</v>
      </c>
      <c r="E148" s="213"/>
      <c r="G148" s="363">
        <v>64486</v>
      </c>
      <c r="H148" s="363">
        <v>382225</v>
      </c>
      <c r="I148" s="349"/>
      <c r="J148" s="363">
        <v>170262</v>
      </c>
      <c r="K148" s="363">
        <v>14731</v>
      </c>
      <c r="L148" s="363">
        <v>19318</v>
      </c>
      <c r="M148" s="363">
        <v>204311</v>
      </c>
      <c r="N148" s="363">
        <v>114898</v>
      </c>
      <c r="O148" s="363">
        <v>1031</v>
      </c>
      <c r="P148" s="363">
        <v>843</v>
      </c>
      <c r="Q148" s="363">
        <v>4448</v>
      </c>
      <c r="R148" s="363">
        <v>2974</v>
      </c>
      <c r="S148" s="363">
        <v>3132</v>
      </c>
      <c r="U148" s="363">
        <v>21474</v>
      </c>
      <c r="V148" s="363">
        <v>0</v>
      </c>
      <c r="W148" s="363">
        <v>0</v>
      </c>
      <c r="X148" s="363">
        <v>-18342</v>
      </c>
      <c r="Y148" s="363">
        <v>259</v>
      </c>
      <c r="Z148" s="363">
        <v>0</v>
      </c>
      <c r="AA148" s="363">
        <v>0</v>
      </c>
      <c r="AB148" s="363">
        <v>-18083</v>
      </c>
      <c r="AD148" s="363">
        <v>-42184</v>
      </c>
      <c r="AG148" s="363">
        <v>-33803</v>
      </c>
      <c r="AH148" s="349"/>
      <c r="AJ148" s="363">
        <v>48</v>
      </c>
      <c r="AL148" s="363">
        <v>251835</v>
      </c>
      <c r="AN148" s="349"/>
      <c r="AO148" s="454">
        <v>52583</v>
      </c>
      <c r="AP148" s="478">
        <v>22</v>
      </c>
      <c r="AQ148" s="213"/>
      <c r="AS148" s="509">
        <v>56313</v>
      </c>
      <c r="AT148" s="349">
        <v>384701</v>
      </c>
      <c r="AU148" s="480">
        <v>-328388</v>
      </c>
      <c r="AV148" s="199">
        <v>186073</v>
      </c>
      <c r="AW148" s="199">
        <v>16974</v>
      </c>
      <c r="AX148" s="199">
        <v>19763</v>
      </c>
      <c r="AY148" s="199">
        <v>222810</v>
      </c>
      <c r="AZ148" s="199">
        <v>136838</v>
      </c>
      <c r="BA148" s="181">
        <v>1151</v>
      </c>
      <c r="BB148" s="511">
        <v>1240</v>
      </c>
      <c r="BC148" s="181">
        <v>5692</v>
      </c>
      <c r="BD148" s="181">
        <v>2531</v>
      </c>
      <c r="BE148" s="199">
        <v>34332</v>
      </c>
      <c r="BG148" s="183">
        <v>25000</v>
      </c>
      <c r="BH148" s="183">
        <v>0</v>
      </c>
      <c r="BI148" s="183">
        <v>0</v>
      </c>
      <c r="BJ148" s="199">
        <v>9332</v>
      </c>
      <c r="BK148" s="199">
        <v>32</v>
      </c>
      <c r="BL148" s="183">
        <v>84</v>
      </c>
      <c r="BM148" s="183">
        <v>0</v>
      </c>
      <c r="BN148" s="199">
        <v>9448</v>
      </c>
      <c r="BP148" s="199">
        <v>-32736</v>
      </c>
      <c r="BS148" s="211"/>
      <c r="BV148" s="514">
        <v>58</v>
      </c>
      <c r="BX148" s="181">
        <v>278517</v>
      </c>
      <c r="BZ148" s="349"/>
      <c r="CB148" s="340"/>
      <c r="CC148" s="488">
        <v>22</v>
      </c>
      <c r="CD148" s="378"/>
      <c r="CE148" s="378"/>
      <c r="CF148" s="195"/>
      <c r="CG148" s="349"/>
      <c r="CI148" s="181">
        <v>79610</v>
      </c>
      <c r="CJ148" s="183">
        <v>0</v>
      </c>
      <c r="CK148" s="421">
        <v>128050.04392332114</v>
      </c>
      <c r="CL148" s="494">
        <v>133902.76475934009</v>
      </c>
      <c r="CM148" s="483">
        <v>9267.8067180199541</v>
      </c>
      <c r="CN148" s="483">
        <v>11564.604134708907</v>
      </c>
      <c r="CO148" s="483">
        <v>12495.848496703162</v>
      </c>
      <c r="CP148" s="433">
        <f t="shared" si="2"/>
        <v>-13152.043923321136</v>
      </c>
      <c r="CQ148" s="212"/>
      <c r="CR148" s="212">
        <v>-1054</v>
      </c>
      <c r="CS148" s="212">
        <v>-50864</v>
      </c>
      <c r="CT148" s="183">
        <v>1877</v>
      </c>
      <c r="CU148" s="183">
        <v>2226</v>
      </c>
      <c r="CV148" s="485">
        <v>-17309</v>
      </c>
      <c r="CX148" s="422"/>
      <c r="CY148" s="475"/>
      <c r="CZ148" s="450"/>
      <c r="DA148" s="394"/>
      <c r="DB148" s="394"/>
      <c r="DC148" s="347"/>
      <c r="DD148" s="394"/>
      <c r="DE148" s="394"/>
      <c r="DF148" s="394"/>
      <c r="DG148" s="394"/>
      <c r="DH148" s="394"/>
    </row>
    <row r="149" spans="1:112" x14ac:dyDescent="0.25">
      <c r="A149" s="179">
        <v>494</v>
      </c>
      <c r="B149" s="181" t="s">
        <v>180</v>
      </c>
      <c r="C149" s="373">
        <v>8908</v>
      </c>
      <c r="D149" s="360">
        <v>21.5</v>
      </c>
      <c r="E149" s="213"/>
      <c r="G149" s="363">
        <v>12564</v>
      </c>
      <c r="H149" s="363">
        <v>66812</v>
      </c>
      <c r="I149" s="349"/>
      <c r="J149" s="363">
        <v>26374</v>
      </c>
      <c r="K149" s="363">
        <v>761</v>
      </c>
      <c r="L149" s="363">
        <v>3736</v>
      </c>
      <c r="M149" s="363">
        <v>30871</v>
      </c>
      <c r="N149" s="363">
        <v>25098</v>
      </c>
      <c r="O149" s="363">
        <v>123</v>
      </c>
      <c r="P149" s="363">
        <v>375</v>
      </c>
      <c r="Q149" s="363">
        <v>4</v>
      </c>
      <c r="R149" s="363">
        <v>3</v>
      </c>
      <c r="S149" s="363">
        <v>1470</v>
      </c>
      <c r="U149" s="363">
        <v>3419</v>
      </c>
      <c r="V149" s="363">
        <v>0</v>
      </c>
      <c r="W149" s="363">
        <v>0</v>
      </c>
      <c r="X149" s="363">
        <v>-1949</v>
      </c>
      <c r="Y149" s="363">
        <v>24</v>
      </c>
      <c r="Z149" s="363">
        <v>0</v>
      </c>
      <c r="AA149" s="363">
        <v>0</v>
      </c>
      <c r="AB149" s="363">
        <v>-1925</v>
      </c>
      <c r="AD149" s="363">
        <v>1311</v>
      </c>
      <c r="AG149" s="363">
        <v>-9238</v>
      </c>
      <c r="AH149" s="349"/>
      <c r="AJ149" s="363">
        <v>1339</v>
      </c>
      <c r="AL149" s="363">
        <v>49967</v>
      </c>
      <c r="AN149" s="349"/>
      <c r="AO149" s="454">
        <v>8903</v>
      </c>
      <c r="AP149" s="478">
        <v>21</v>
      </c>
      <c r="AQ149" s="213"/>
      <c r="AS149" s="509">
        <v>12585</v>
      </c>
      <c r="AT149" s="349">
        <v>67080</v>
      </c>
      <c r="AU149" s="480">
        <v>-54495</v>
      </c>
      <c r="AV149" s="199">
        <v>26334</v>
      </c>
      <c r="AW149" s="199">
        <v>816</v>
      </c>
      <c r="AX149" s="199">
        <v>3548</v>
      </c>
      <c r="AY149" s="199">
        <v>30698</v>
      </c>
      <c r="AZ149" s="199">
        <v>29173</v>
      </c>
      <c r="BA149" s="181">
        <v>112</v>
      </c>
      <c r="BB149" s="511">
        <v>346</v>
      </c>
      <c r="BC149" s="181">
        <v>20</v>
      </c>
      <c r="BD149" s="181">
        <v>24</v>
      </c>
      <c r="BE149" s="199">
        <v>5138</v>
      </c>
      <c r="BG149" s="183">
        <v>8532</v>
      </c>
      <c r="BH149" s="183">
        <v>0</v>
      </c>
      <c r="BI149" s="183">
        <v>0</v>
      </c>
      <c r="BJ149" s="199">
        <v>-3394</v>
      </c>
      <c r="BK149" s="199">
        <v>23</v>
      </c>
      <c r="BL149" s="199">
        <v>6</v>
      </c>
      <c r="BM149" s="183">
        <v>0</v>
      </c>
      <c r="BN149" s="199">
        <v>-3365</v>
      </c>
      <c r="BP149" s="199">
        <v>-2054</v>
      </c>
      <c r="BS149" s="211"/>
      <c r="BV149" s="514">
        <v>1594</v>
      </c>
      <c r="BX149" s="181">
        <v>50743</v>
      </c>
      <c r="BZ149" s="349"/>
      <c r="CB149" s="340"/>
      <c r="CC149" s="488">
        <v>21</v>
      </c>
      <c r="CD149" s="378"/>
      <c r="CE149" s="378"/>
      <c r="CF149" s="195"/>
      <c r="CG149" s="349"/>
      <c r="CI149" s="181">
        <v>21009</v>
      </c>
      <c r="CJ149" s="183">
        <v>0</v>
      </c>
      <c r="CK149" s="421">
        <v>27536.067085979481</v>
      </c>
      <c r="CL149" s="494">
        <v>28415.77212944052</v>
      </c>
      <c r="CM149" s="483">
        <v>9558.1745159654747</v>
      </c>
      <c r="CN149" s="483">
        <v>9291.1616090299067</v>
      </c>
      <c r="CO149" s="483">
        <v>9223.227345891768</v>
      </c>
      <c r="CP149" s="433">
        <f t="shared" si="2"/>
        <v>-2438.0670859794809</v>
      </c>
      <c r="CQ149" s="212"/>
      <c r="CR149" s="212">
        <v>8</v>
      </c>
      <c r="CS149" s="212">
        <v>-6074</v>
      </c>
      <c r="CT149" s="183">
        <v>284</v>
      </c>
      <c r="CU149" s="183">
        <v>48</v>
      </c>
      <c r="CV149" s="485">
        <v>20</v>
      </c>
      <c r="CX149" s="422"/>
      <c r="CY149" s="475"/>
      <c r="CZ149" s="450"/>
      <c r="DA149" s="394"/>
      <c r="DB149" s="394"/>
      <c r="DC149" s="347"/>
      <c r="DD149" s="394"/>
      <c r="DE149" s="394"/>
      <c r="DF149" s="394"/>
      <c r="DG149" s="394"/>
      <c r="DH149" s="394"/>
    </row>
    <row r="150" spans="1:112" x14ac:dyDescent="0.25">
      <c r="A150" s="179">
        <v>495</v>
      </c>
      <c r="B150" s="181" t="s">
        <v>181</v>
      </c>
      <c r="C150" s="373">
        <v>1566</v>
      </c>
      <c r="D150" s="360">
        <v>22</v>
      </c>
      <c r="E150" s="213"/>
      <c r="G150" s="363">
        <v>2116</v>
      </c>
      <c r="H150" s="363">
        <v>14973</v>
      </c>
      <c r="I150" s="349"/>
      <c r="J150" s="363">
        <v>4063</v>
      </c>
      <c r="K150" s="363">
        <v>1170</v>
      </c>
      <c r="L150" s="363">
        <v>414</v>
      </c>
      <c r="M150" s="363">
        <v>5647</v>
      </c>
      <c r="N150" s="363">
        <v>5834</v>
      </c>
      <c r="O150" s="363">
        <v>0</v>
      </c>
      <c r="P150" s="363">
        <v>3</v>
      </c>
      <c r="Q150" s="363">
        <v>7</v>
      </c>
      <c r="R150" s="363">
        <v>3</v>
      </c>
      <c r="S150" s="363">
        <v>-1375</v>
      </c>
      <c r="U150" s="363">
        <v>603</v>
      </c>
      <c r="V150" s="363">
        <v>0</v>
      </c>
      <c r="W150" s="363">
        <v>0</v>
      </c>
      <c r="X150" s="363">
        <v>-1978</v>
      </c>
      <c r="Y150" s="363">
        <v>0</v>
      </c>
      <c r="Z150" s="363">
        <v>0</v>
      </c>
      <c r="AA150" s="363">
        <v>0</v>
      </c>
      <c r="AB150" s="363">
        <v>-1978</v>
      </c>
      <c r="AD150" s="363">
        <v>-1399</v>
      </c>
      <c r="AG150" s="363">
        <v>230</v>
      </c>
      <c r="AH150" s="349"/>
      <c r="AJ150" s="363">
        <v>533</v>
      </c>
      <c r="AL150" s="363">
        <v>781</v>
      </c>
      <c r="AN150" s="349"/>
      <c r="AO150" s="454">
        <v>1558</v>
      </c>
      <c r="AP150" s="478">
        <v>22</v>
      </c>
      <c r="AQ150" s="213"/>
      <c r="AS150" s="509">
        <v>3872</v>
      </c>
      <c r="AT150" s="349">
        <v>14305</v>
      </c>
      <c r="AU150" s="480">
        <v>-10433</v>
      </c>
      <c r="AV150" s="199">
        <v>4147</v>
      </c>
      <c r="AW150" s="199">
        <v>1301</v>
      </c>
      <c r="AX150" s="199">
        <v>368</v>
      </c>
      <c r="AY150" s="199">
        <v>5816</v>
      </c>
      <c r="AZ150" s="199">
        <v>6145</v>
      </c>
      <c r="BA150" s="181">
        <v>0</v>
      </c>
      <c r="BB150" s="511">
        <v>1</v>
      </c>
      <c r="BC150" s="181">
        <v>48</v>
      </c>
      <c r="BD150" s="181">
        <v>45</v>
      </c>
      <c r="BE150" s="199">
        <v>1530</v>
      </c>
      <c r="BG150" s="183">
        <v>571</v>
      </c>
      <c r="BH150" s="183">
        <v>0</v>
      </c>
      <c r="BI150" s="183">
        <v>0</v>
      </c>
      <c r="BJ150" s="199">
        <v>959</v>
      </c>
      <c r="BK150" s="183">
        <v>0</v>
      </c>
      <c r="BL150" s="183">
        <v>0</v>
      </c>
      <c r="BM150" s="183">
        <v>0</v>
      </c>
      <c r="BN150" s="199">
        <v>959</v>
      </c>
      <c r="BP150" s="199">
        <v>-506</v>
      </c>
      <c r="BS150" s="211"/>
      <c r="BV150" s="514">
        <v>884</v>
      </c>
      <c r="BX150" s="181">
        <v>1935</v>
      </c>
      <c r="BZ150" s="349"/>
      <c r="CB150" s="340"/>
      <c r="CC150" s="488">
        <v>22</v>
      </c>
      <c r="CD150" s="378"/>
      <c r="CE150" s="378"/>
      <c r="CF150" s="195"/>
      <c r="CG150" s="349"/>
      <c r="CH150" s="347"/>
      <c r="CI150" s="181">
        <v>5826</v>
      </c>
      <c r="CJ150" s="183">
        <v>280</v>
      </c>
      <c r="CK150" s="421">
        <v>5691.2173875369808</v>
      </c>
      <c r="CL150" s="494">
        <v>5746.5986731561243</v>
      </c>
      <c r="CM150" s="483">
        <v>1444.6336541154994</v>
      </c>
      <c r="CN150" s="483">
        <v>1433.4205472695521</v>
      </c>
      <c r="CO150" s="483">
        <v>1356.4602380685783</v>
      </c>
      <c r="CP150" s="433">
        <f t="shared" si="2"/>
        <v>142.78261246301918</v>
      </c>
      <c r="CQ150" s="212"/>
      <c r="CR150" s="212">
        <v>-2026</v>
      </c>
      <c r="CS150" s="212">
        <v>-290</v>
      </c>
      <c r="CT150" s="183">
        <v>0</v>
      </c>
      <c r="CU150" s="183">
        <v>92</v>
      </c>
      <c r="CV150" s="485">
        <v>5</v>
      </c>
      <c r="CX150" s="422"/>
      <c r="CY150" s="475"/>
      <c r="CZ150" s="450"/>
      <c r="DA150" s="394"/>
      <c r="DB150" s="394"/>
      <c r="DC150" s="347"/>
      <c r="DD150" s="394"/>
      <c r="DE150" s="394"/>
      <c r="DF150" s="394"/>
      <c r="DG150" s="394"/>
      <c r="DH150" s="394"/>
    </row>
    <row r="151" spans="1:112" x14ac:dyDescent="0.25">
      <c r="A151" s="179">
        <v>498</v>
      </c>
      <c r="B151" s="181" t="s">
        <v>182</v>
      </c>
      <c r="C151" s="373">
        <v>2308</v>
      </c>
      <c r="D151" s="360">
        <v>21.5</v>
      </c>
      <c r="E151" s="213"/>
      <c r="G151" s="363">
        <v>2961</v>
      </c>
      <c r="H151" s="363">
        <v>20673</v>
      </c>
      <c r="I151" s="349"/>
      <c r="J151" s="363">
        <v>7081</v>
      </c>
      <c r="K151" s="363">
        <v>757</v>
      </c>
      <c r="L151" s="363">
        <v>1018</v>
      </c>
      <c r="M151" s="363">
        <v>8856</v>
      </c>
      <c r="N151" s="363">
        <v>9167</v>
      </c>
      <c r="O151" s="363">
        <v>1</v>
      </c>
      <c r="P151" s="363">
        <v>37</v>
      </c>
      <c r="Q151" s="363">
        <v>7</v>
      </c>
      <c r="R151" s="363">
        <v>3</v>
      </c>
      <c r="S151" s="363">
        <v>279</v>
      </c>
      <c r="U151" s="363">
        <v>1074</v>
      </c>
      <c r="V151" s="363">
        <v>0</v>
      </c>
      <c r="W151" s="363">
        <v>0</v>
      </c>
      <c r="X151" s="363">
        <v>-795</v>
      </c>
      <c r="Y151" s="363">
        <v>30</v>
      </c>
      <c r="Z151" s="363">
        <v>0</v>
      </c>
      <c r="AA151" s="363">
        <v>0</v>
      </c>
      <c r="AB151" s="363">
        <v>-765</v>
      </c>
      <c r="AD151" s="363">
        <v>-923</v>
      </c>
      <c r="AG151" s="363">
        <v>-554</v>
      </c>
      <c r="AH151" s="349"/>
      <c r="AJ151" s="363">
        <v>825</v>
      </c>
      <c r="AL151" s="363">
        <v>7905</v>
      </c>
      <c r="AN151" s="349"/>
      <c r="AO151" s="454">
        <v>2297</v>
      </c>
      <c r="AP151" s="478">
        <v>21.5</v>
      </c>
      <c r="AQ151" s="213"/>
      <c r="AS151" s="509">
        <v>3344</v>
      </c>
      <c r="AT151" s="349">
        <v>20952</v>
      </c>
      <c r="AU151" s="480">
        <v>-17608</v>
      </c>
      <c r="AV151" s="199">
        <v>7985</v>
      </c>
      <c r="AW151" s="199">
        <v>1054</v>
      </c>
      <c r="AX151" s="199">
        <v>894</v>
      </c>
      <c r="AY151" s="199">
        <v>9933</v>
      </c>
      <c r="AZ151" s="199">
        <v>10220</v>
      </c>
      <c r="BA151" s="181">
        <v>0</v>
      </c>
      <c r="BB151" s="511">
        <v>26</v>
      </c>
      <c r="BC151" s="181">
        <v>8</v>
      </c>
      <c r="BD151" s="181">
        <v>3</v>
      </c>
      <c r="BE151" s="199">
        <v>2524</v>
      </c>
      <c r="BG151" s="183">
        <v>1061</v>
      </c>
      <c r="BH151" s="183">
        <v>0</v>
      </c>
      <c r="BI151" s="199">
        <v>0</v>
      </c>
      <c r="BJ151" s="199">
        <v>1463</v>
      </c>
      <c r="BK151" s="183">
        <v>29</v>
      </c>
      <c r="BL151" s="199">
        <v>0</v>
      </c>
      <c r="BM151" s="199">
        <v>0</v>
      </c>
      <c r="BN151" s="199">
        <v>1492</v>
      </c>
      <c r="BP151" s="199">
        <v>570</v>
      </c>
      <c r="BS151" s="211"/>
      <c r="BV151" s="514">
        <v>874</v>
      </c>
      <c r="BX151" s="181">
        <v>6385</v>
      </c>
      <c r="BZ151" s="349"/>
      <c r="CB151" s="340"/>
      <c r="CC151" s="488">
        <v>21.5</v>
      </c>
      <c r="CD151" s="378"/>
      <c r="CE151" s="378"/>
      <c r="CF151" s="195"/>
      <c r="CG151" s="349"/>
      <c r="CI151" s="181">
        <v>6889</v>
      </c>
      <c r="CJ151" s="183">
        <v>0</v>
      </c>
      <c r="CK151" s="421">
        <v>9677.2482270899527</v>
      </c>
      <c r="CL151" s="494">
        <v>10124.820223559367</v>
      </c>
      <c r="CM151" s="483">
        <v>2616.5560512325696</v>
      </c>
      <c r="CN151" s="483">
        <v>2645.8442783122041</v>
      </c>
      <c r="CO151" s="483">
        <v>2715.9802666327164</v>
      </c>
      <c r="CP151" s="433">
        <f t="shared" si="2"/>
        <v>-510.24822708995271</v>
      </c>
      <c r="CQ151" s="212"/>
      <c r="CR151" s="212">
        <v>-18</v>
      </c>
      <c r="CS151" s="212">
        <v>-963</v>
      </c>
      <c r="CT151" s="183">
        <v>37</v>
      </c>
      <c r="CU151" s="183">
        <v>20</v>
      </c>
      <c r="CV151" s="485">
        <v>-15</v>
      </c>
      <c r="CX151" s="422"/>
      <c r="CY151" s="475"/>
      <c r="CZ151" s="450"/>
      <c r="DA151" s="394"/>
      <c r="DB151" s="394"/>
      <c r="DC151" s="347"/>
      <c r="DD151" s="394"/>
      <c r="DE151" s="394"/>
      <c r="DF151" s="394"/>
      <c r="DG151" s="394"/>
      <c r="DH151" s="394"/>
    </row>
    <row r="152" spans="1:112" x14ac:dyDescent="0.25">
      <c r="A152" s="179">
        <v>499</v>
      </c>
      <c r="B152" s="181" t="s">
        <v>183</v>
      </c>
      <c r="C152" s="373">
        <v>19448</v>
      </c>
      <c r="D152" s="360">
        <v>20.75</v>
      </c>
      <c r="E152" s="213"/>
      <c r="G152" s="363">
        <v>25242</v>
      </c>
      <c r="H152" s="363">
        <v>128750</v>
      </c>
      <c r="I152" s="349"/>
      <c r="J152" s="363">
        <v>69716</v>
      </c>
      <c r="K152" s="363">
        <v>2494</v>
      </c>
      <c r="L152" s="363">
        <v>4737</v>
      </c>
      <c r="M152" s="363">
        <v>76947</v>
      </c>
      <c r="N152" s="363">
        <v>33143</v>
      </c>
      <c r="O152" s="363">
        <v>2</v>
      </c>
      <c r="P152" s="363">
        <v>453</v>
      </c>
      <c r="Q152" s="363">
        <v>358</v>
      </c>
      <c r="R152" s="363">
        <v>4</v>
      </c>
      <c r="S152" s="363">
        <v>6485</v>
      </c>
      <c r="U152" s="363">
        <v>8238</v>
      </c>
      <c r="V152" s="363">
        <v>0</v>
      </c>
      <c r="W152" s="363">
        <v>0</v>
      </c>
      <c r="X152" s="363">
        <v>-1753</v>
      </c>
      <c r="Y152" s="363">
        <v>0</v>
      </c>
      <c r="Z152" s="363">
        <v>0</v>
      </c>
      <c r="AA152" s="363">
        <v>0</v>
      </c>
      <c r="AB152" s="363">
        <v>-1753</v>
      </c>
      <c r="AD152" s="363">
        <v>1337</v>
      </c>
      <c r="AG152" s="363">
        <v>-20651</v>
      </c>
      <c r="AH152" s="349"/>
      <c r="AJ152" s="363">
        <v>2645</v>
      </c>
      <c r="AL152" s="363">
        <v>96500</v>
      </c>
      <c r="AN152" s="349"/>
      <c r="AO152" s="454">
        <v>19453</v>
      </c>
      <c r="AP152" s="478">
        <v>20.75</v>
      </c>
      <c r="AQ152" s="213"/>
      <c r="AS152" s="509">
        <v>24878</v>
      </c>
      <c r="AT152" s="349">
        <v>131003</v>
      </c>
      <c r="AU152" s="480">
        <v>-106125</v>
      </c>
      <c r="AV152" s="199">
        <v>72079</v>
      </c>
      <c r="AW152" s="199">
        <v>2995</v>
      </c>
      <c r="AX152" s="199">
        <v>4339</v>
      </c>
      <c r="AY152" s="199">
        <v>79413</v>
      </c>
      <c r="AZ152" s="199">
        <v>42211</v>
      </c>
      <c r="BA152" s="181">
        <v>0</v>
      </c>
      <c r="BB152" s="511">
        <v>403</v>
      </c>
      <c r="BC152" s="181">
        <v>350</v>
      </c>
      <c r="BD152" s="181">
        <v>1</v>
      </c>
      <c r="BE152" s="199">
        <v>15445</v>
      </c>
      <c r="BG152" s="183">
        <v>9125</v>
      </c>
      <c r="BH152" s="199">
        <v>1339</v>
      </c>
      <c r="BI152" s="199">
        <v>0</v>
      </c>
      <c r="BJ152" s="199">
        <v>7659</v>
      </c>
      <c r="BK152" s="183">
        <v>0</v>
      </c>
      <c r="BL152" s="183">
        <v>0</v>
      </c>
      <c r="BM152" s="183">
        <v>0</v>
      </c>
      <c r="BN152" s="199">
        <v>7659</v>
      </c>
      <c r="BP152" s="199">
        <v>8996</v>
      </c>
      <c r="BS152" s="211"/>
      <c r="BV152" s="514">
        <v>4127</v>
      </c>
      <c r="BX152" s="181">
        <v>90714</v>
      </c>
      <c r="BZ152" s="349"/>
      <c r="CB152" s="340"/>
      <c r="CC152" s="488">
        <v>20.75</v>
      </c>
      <c r="CD152" s="378"/>
      <c r="CE152" s="378"/>
      <c r="CF152" s="195"/>
      <c r="CG152" s="349"/>
      <c r="CI152" s="181">
        <v>24207</v>
      </c>
      <c r="CJ152" s="183">
        <v>0</v>
      </c>
      <c r="CK152" s="421">
        <v>39350.138387965817</v>
      </c>
      <c r="CL152" s="494">
        <v>42566.725133534535</v>
      </c>
      <c r="CM152" s="483">
        <v>22103.166145289517</v>
      </c>
      <c r="CN152" s="483">
        <v>21868.095241503641</v>
      </c>
      <c r="CO152" s="483">
        <v>21897.176434919831</v>
      </c>
      <c r="CP152" s="433">
        <f t="shared" si="2"/>
        <v>-6207.1383879658169</v>
      </c>
      <c r="CQ152" s="212"/>
      <c r="CR152" s="212">
        <v>-2249</v>
      </c>
      <c r="CS152" s="212">
        <v>-12175</v>
      </c>
      <c r="CT152" s="183">
        <v>26</v>
      </c>
      <c r="CU152" s="183">
        <v>2853</v>
      </c>
      <c r="CV152" s="485">
        <v>108</v>
      </c>
      <c r="CX152" s="422"/>
      <c r="CY152" s="475"/>
      <c r="CZ152" s="450"/>
      <c r="DA152" s="394"/>
      <c r="DB152" s="394"/>
      <c r="DC152" s="347"/>
      <c r="DD152" s="394"/>
      <c r="DE152" s="394"/>
      <c r="DF152" s="394"/>
      <c r="DG152" s="394"/>
      <c r="DH152" s="394"/>
    </row>
    <row r="153" spans="1:112" x14ac:dyDescent="0.25">
      <c r="A153" s="179">
        <v>500</v>
      </c>
      <c r="B153" s="181" t="s">
        <v>184</v>
      </c>
      <c r="C153" s="373">
        <v>10164</v>
      </c>
      <c r="D153" s="360">
        <v>19.5</v>
      </c>
      <c r="E153" s="213"/>
      <c r="G153" s="363">
        <v>8592</v>
      </c>
      <c r="H153" s="363">
        <v>56709</v>
      </c>
      <c r="I153" s="349"/>
      <c r="J153" s="363">
        <v>35724</v>
      </c>
      <c r="K153" s="363">
        <v>2015</v>
      </c>
      <c r="L153" s="363">
        <v>2313</v>
      </c>
      <c r="M153" s="363">
        <v>40052</v>
      </c>
      <c r="N153" s="363">
        <v>10538</v>
      </c>
      <c r="O153" s="363">
        <v>54</v>
      </c>
      <c r="P153" s="363">
        <v>69</v>
      </c>
      <c r="Q153" s="363">
        <v>158</v>
      </c>
      <c r="R153" s="363">
        <v>2</v>
      </c>
      <c r="S153" s="363">
        <v>2614</v>
      </c>
      <c r="U153" s="363">
        <v>3815</v>
      </c>
      <c r="V153" s="363">
        <v>0</v>
      </c>
      <c r="W153" s="363">
        <v>0</v>
      </c>
      <c r="X153" s="363">
        <v>-1201</v>
      </c>
      <c r="Y153" s="363">
        <v>0</v>
      </c>
      <c r="Z153" s="363">
        <v>0</v>
      </c>
      <c r="AA153" s="363">
        <v>0</v>
      </c>
      <c r="AB153" s="363">
        <v>-1201</v>
      </c>
      <c r="AD153" s="363">
        <v>8065</v>
      </c>
      <c r="AG153" s="363">
        <v>-3425</v>
      </c>
      <c r="AH153" s="349"/>
      <c r="AJ153" s="363">
        <v>328</v>
      </c>
      <c r="AL153" s="363">
        <v>21590</v>
      </c>
      <c r="AN153" s="349"/>
      <c r="AO153" s="454">
        <v>10267</v>
      </c>
      <c r="AP153" s="478">
        <v>19.5</v>
      </c>
      <c r="AQ153" s="213"/>
      <c r="AS153" s="509">
        <v>8449</v>
      </c>
      <c r="AT153" s="349">
        <v>56417</v>
      </c>
      <c r="AU153" s="480">
        <v>-47968</v>
      </c>
      <c r="AV153" s="199">
        <v>38101</v>
      </c>
      <c r="AW153" s="199">
        <v>2023</v>
      </c>
      <c r="AX153" s="199">
        <v>2136</v>
      </c>
      <c r="AY153" s="199">
        <v>42260</v>
      </c>
      <c r="AZ153" s="199">
        <v>15101</v>
      </c>
      <c r="BA153" s="181">
        <v>63</v>
      </c>
      <c r="BB153" s="511">
        <v>57</v>
      </c>
      <c r="BC153" s="181">
        <v>197</v>
      </c>
      <c r="BD153" s="181">
        <v>3</v>
      </c>
      <c r="BE153" s="199">
        <v>9593</v>
      </c>
      <c r="BG153" s="183">
        <v>4069</v>
      </c>
      <c r="BH153" s="183">
        <v>0</v>
      </c>
      <c r="BI153" s="199">
        <v>0</v>
      </c>
      <c r="BJ153" s="199">
        <v>5524</v>
      </c>
      <c r="BK153" s="199">
        <v>0</v>
      </c>
      <c r="BL153" s="183">
        <v>-4000</v>
      </c>
      <c r="BM153" s="183">
        <v>0</v>
      </c>
      <c r="BN153" s="199">
        <v>1524</v>
      </c>
      <c r="BP153" s="199">
        <v>9589</v>
      </c>
      <c r="BS153" s="211"/>
      <c r="BV153" s="514">
        <v>1206</v>
      </c>
      <c r="BX153" s="181">
        <v>17577</v>
      </c>
      <c r="BZ153" s="349"/>
      <c r="CB153" s="340"/>
      <c r="CC153" s="488">
        <v>19.5</v>
      </c>
      <c r="CD153" s="378"/>
      <c r="CE153" s="378"/>
      <c r="CF153" s="195"/>
      <c r="CG153" s="349"/>
      <c r="CI153" s="181">
        <v>9917</v>
      </c>
      <c r="CJ153" s="183">
        <v>0</v>
      </c>
      <c r="CK153" s="421">
        <v>13321.843823244468</v>
      </c>
      <c r="CL153" s="494">
        <v>13724.138282624986</v>
      </c>
      <c r="CM153" s="483">
        <v>10925.268772513948</v>
      </c>
      <c r="CN153" s="483">
        <v>10616.194968272326</v>
      </c>
      <c r="CO153" s="483">
        <v>10541.337788540442</v>
      </c>
      <c r="CP153" s="433">
        <f t="shared" si="2"/>
        <v>-2783.8438232444678</v>
      </c>
      <c r="CQ153" s="212"/>
      <c r="CR153" s="212">
        <v>-901</v>
      </c>
      <c r="CS153" s="212">
        <v>-4910</v>
      </c>
      <c r="CT153" s="183">
        <v>84</v>
      </c>
      <c r="CU153" s="183">
        <v>1043</v>
      </c>
      <c r="CV153" s="485">
        <v>91</v>
      </c>
      <c r="CX153" s="422"/>
      <c r="CY153" s="475"/>
      <c r="CZ153" s="450"/>
      <c r="DA153" s="394"/>
      <c r="DB153" s="394"/>
      <c r="DC153" s="347"/>
      <c r="DD153" s="394"/>
      <c r="DE153" s="394"/>
      <c r="DF153" s="394"/>
      <c r="DG153" s="394"/>
      <c r="DH153" s="394"/>
    </row>
    <row r="154" spans="1:112" x14ac:dyDescent="0.25">
      <c r="A154" s="179">
        <v>503</v>
      </c>
      <c r="B154" s="181" t="s">
        <v>185</v>
      </c>
      <c r="C154" s="373">
        <v>7654</v>
      </c>
      <c r="D154" s="360">
        <v>21</v>
      </c>
      <c r="E154" s="213"/>
      <c r="G154" s="363">
        <v>4613</v>
      </c>
      <c r="H154" s="363">
        <v>50812</v>
      </c>
      <c r="I154" s="349"/>
      <c r="J154" s="363">
        <v>24456</v>
      </c>
      <c r="K154" s="363">
        <v>1017</v>
      </c>
      <c r="L154" s="363">
        <v>1549</v>
      </c>
      <c r="M154" s="363">
        <v>27022</v>
      </c>
      <c r="N154" s="363">
        <v>15107</v>
      </c>
      <c r="O154" s="363">
        <v>10</v>
      </c>
      <c r="P154" s="363">
        <v>83</v>
      </c>
      <c r="Q154" s="363">
        <v>20</v>
      </c>
      <c r="R154" s="363">
        <v>5</v>
      </c>
      <c r="S154" s="363">
        <v>-4128</v>
      </c>
      <c r="U154" s="363">
        <v>2480</v>
      </c>
      <c r="V154" s="363">
        <v>0</v>
      </c>
      <c r="W154" s="363">
        <v>0</v>
      </c>
      <c r="X154" s="363">
        <v>-6608</v>
      </c>
      <c r="Y154" s="363">
        <v>3</v>
      </c>
      <c r="Z154" s="363">
        <v>0</v>
      </c>
      <c r="AA154" s="363">
        <v>0</v>
      </c>
      <c r="AB154" s="363">
        <v>-6605</v>
      </c>
      <c r="AD154" s="363">
        <v>2196</v>
      </c>
      <c r="AG154" s="363">
        <v>-7332</v>
      </c>
      <c r="AH154" s="349"/>
      <c r="AJ154" s="363">
        <v>2289</v>
      </c>
      <c r="AL154" s="363">
        <v>29426</v>
      </c>
      <c r="AN154" s="349"/>
      <c r="AO154" s="454">
        <v>7645</v>
      </c>
      <c r="AP154" s="478">
        <v>21.25</v>
      </c>
      <c r="AQ154" s="213"/>
      <c r="AS154" s="509">
        <v>4178</v>
      </c>
      <c r="AT154" s="349">
        <v>49138</v>
      </c>
      <c r="AU154" s="480">
        <v>-44960</v>
      </c>
      <c r="AV154" s="199">
        <v>25968</v>
      </c>
      <c r="AW154" s="199">
        <v>1103</v>
      </c>
      <c r="AX154" s="199">
        <v>1598</v>
      </c>
      <c r="AY154" s="199">
        <v>28669</v>
      </c>
      <c r="AZ154" s="199">
        <v>19900</v>
      </c>
      <c r="BA154" s="181">
        <v>10</v>
      </c>
      <c r="BB154" s="511">
        <v>102</v>
      </c>
      <c r="BC154" s="181">
        <v>23</v>
      </c>
      <c r="BD154" s="181">
        <v>3</v>
      </c>
      <c r="BE154" s="199">
        <v>3537</v>
      </c>
      <c r="BG154" s="183">
        <v>1384</v>
      </c>
      <c r="BH154" s="183">
        <v>0</v>
      </c>
      <c r="BI154" s="183">
        <v>0</v>
      </c>
      <c r="BJ154" s="199">
        <v>2153</v>
      </c>
      <c r="BK154" s="183">
        <v>3</v>
      </c>
      <c r="BL154" s="183">
        <v>0</v>
      </c>
      <c r="BM154" s="183">
        <v>0</v>
      </c>
      <c r="BN154" s="199">
        <v>2156</v>
      </c>
      <c r="BP154" s="199">
        <v>4353</v>
      </c>
      <c r="BS154" s="211"/>
      <c r="BV154" s="514">
        <v>3521</v>
      </c>
      <c r="BX154" s="181">
        <v>34697</v>
      </c>
      <c r="BZ154" s="349"/>
      <c r="CB154" s="340"/>
      <c r="CC154" s="488">
        <v>21.25</v>
      </c>
      <c r="CD154" s="378"/>
      <c r="CE154" s="378"/>
      <c r="CF154" s="195"/>
      <c r="CG154" s="349"/>
      <c r="CI154" s="181">
        <v>15376</v>
      </c>
      <c r="CJ154" s="183">
        <v>0</v>
      </c>
      <c r="CK154" s="421">
        <v>18022.160492024766</v>
      </c>
      <c r="CL154" s="494">
        <v>18563.765136839891</v>
      </c>
      <c r="CM154" s="483">
        <v>3360.3429084839804</v>
      </c>
      <c r="CN154" s="483">
        <v>3142.436985137299</v>
      </c>
      <c r="CO154" s="483">
        <v>3020.1803986322066</v>
      </c>
      <c r="CP154" s="433">
        <f t="shared" si="2"/>
        <v>-2915.1604920247664</v>
      </c>
      <c r="CQ154" s="212"/>
      <c r="CR154" s="212">
        <v>-150</v>
      </c>
      <c r="CS154" s="212">
        <v>-7311</v>
      </c>
      <c r="CT154" s="183">
        <v>-2</v>
      </c>
      <c r="CU154" s="183">
        <v>212</v>
      </c>
      <c r="CV154" s="485">
        <v>0</v>
      </c>
      <c r="CX154" s="422"/>
      <c r="CY154" s="475"/>
      <c r="CZ154" s="450"/>
      <c r="DA154" s="394"/>
      <c r="DB154" s="394"/>
      <c r="DC154" s="347"/>
      <c r="DD154" s="394"/>
      <c r="DE154" s="394"/>
      <c r="DF154" s="394"/>
      <c r="DG154" s="394"/>
      <c r="DH154" s="394"/>
    </row>
    <row r="155" spans="1:112" x14ac:dyDescent="0.25">
      <c r="A155" s="179">
        <v>504</v>
      </c>
      <c r="B155" s="181" t="s">
        <v>186</v>
      </c>
      <c r="C155" s="373">
        <v>1882</v>
      </c>
      <c r="D155" s="360">
        <v>21.5</v>
      </c>
      <c r="E155" s="213"/>
      <c r="G155" s="363">
        <v>2524</v>
      </c>
      <c r="H155" s="363">
        <v>13227</v>
      </c>
      <c r="I155" s="349"/>
      <c r="J155" s="363">
        <v>5738</v>
      </c>
      <c r="K155" s="363">
        <v>456</v>
      </c>
      <c r="L155" s="363">
        <v>403</v>
      </c>
      <c r="M155" s="363">
        <v>6597</v>
      </c>
      <c r="N155" s="363">
        <v>4666</v>
      </c>
      <c r="O155" s="363">
        <v>0</v>
      </c>
      <c r="P155" s="363">
        <v>19</v>
      </c>
      <c r="Q155" s="363">
        <v>292</v>
      </c>
      <c r="R155" s="363">
        <v>2</v>
      </c>
      <c r="S155" s="363">
        <v>831</v>
      </c>
      <c r="U155" s="363">
        <v>483</v>
      </c>
      <c r="V155" s="363">
        <v>0</v>
      </c>
      <c r="W155" s="363">
        <v>0</v>
      </c>
      <c r="X155" s="363">
        <v>348</v>
      </c>
      <c r="Y155" s="363">
        <v>0</v>
      </c>
      <c r="Z155" s="363">
        <v>0</v>
      </c>
      <c r="AA155" s="363">
        <v>0</v>
      </c>
      <c r="AB155" s="363">
        <v>348</v>
      </c>
      <c r="AD155" s="363">
        <v>1743</v>
      </c>
      <c r="AG155" s="363">
        <v>-543</v>
      </c>
      <c r="AH155" s="349"/>
      <c r="AJ155" s="363">
        <v>1453</v>
      </c>
      <c r="AL155" s="363">
        <v>1837</v>
      </c>
      <c r="AN155" s="349"/>
      <c r="AO155" s="454">
        <v>1871</v>
      </c>
      <c r="AP155" s="478">
        <v>21.5</v>
      </c>
      <c r="AQ155" s="213"/>
      <c r="AS155" s="509">
        <v>2415</v>
      </c>
      <c r="AT155" s="349">
        <v>13163</v>
      </c>
      <c r="AU155" s="480">
        <v>-10748</v>
      </c>
      <c r="AV155" s="199">
        <v>5743</v>
      </c>
      <c r="AW155" s="199">
        <v>495</v>
      </c>
      <c r="AX155" s="199">
        <v>363</v>
      </c>
      <c r="AY155" s="199">
        <v>6601</v>
      </c>
      <c r="AZ155" s="199">
        <v>5343</v>
      </c>
      <c r="BA155" s="181">
        <v>5</v>
      </c>
      <c r="BB155" s="511">
        <v>19</v>
      </c>
      <c r="BC155" s="181">
        <v>322</v>
      </c>
      <c r="BD155" s="181">
        <v>1</v>
      </c>
      <c r="BE155" s="199">
        <v>1503</v>
      </c>
      <c r="BG155" s="183">
        <v>541</v>
      </c>
      <c r="BH155" s="183">
        <v>0</v>
      </c>
      <c r="BI155" s="183">
        <v>0</v>
      </c>
      <c r="BJ155" s="199">
        <v>962</v>
      </c>
      <c r="BK155" s="199">
        <v>0</v>
      </c>
      <c r="BL155" s="183">
        <v>-60</v>
      </c>
      <c r="BM155" s="183">
        <v>0</v>
      </c>
      <c r="BN155" s="199">
        <v>902</v>
      </c>
      <c r="BP155" s="199">
        <v>2645</v>
      </c>
      <c r="BS155" s="211"/>
      <c r="BV155" s="514">
        <v>1231</v>
      </c>
      <c r="BX155" s="181">
        <v>5293</v>
      </c>
      <c r="BZ155" s="349"/>
      <c r="CB155" s="340"/>
      <c r="CC155" s="488">
        <v>21.5</v>
      </c>
      <c r="CD155" s="378"/>
      <c r="CE155" s="378"/>
      <c r="CF155" s="195"/>
      <c r="CG155" s="349"/>
      <c r="CI155" s="181">
        <v>4291</v>
      </c>
      <c r="CJ155" s="183">
        <v>0</v>
      </c>
      <c r="CK155" s="421">
        <v>5138.3671499248567</v>
      </c>
      <c r="CL155" s="494">
        <v>5289.8982157405271</v>
      </c>
      <c r="CM155" s="483">
        <v>1406.3998620376797</v>
      </c>
      <c r="CN155" s="483">
        <v>1379.2023672532064</v>
      </c>
      <c r="CO155" s="483">
        <v>1312.9822718322243</v>
      </c>
      <c r="CP155" s="433">
        <f t="shared" si="2"/>
        <v>-472.36714992485668</v>
      </c>
      <c r="CQ155" s="212"/>
      <c r="CR155" s="212">
        <v>-9</v>
      </c>
      <c r="CS155" s="212">
        <v>-6278</v>
      </c>
      <c r="CT155" s="183">
        <v>225</v>
      </c>
      <c r="CU155" s="183">
        <v>78</v>
      </c>
      <c r="CV155" s="485">
        <v>0</v>
      </c>
      <c r="CX155" s="422"/>
      <c r="CY155" s="475"/>
      <c r="CZ155" s="450"/>
      <c r="DA155" s="394"/>
      <c r="DB155" s="394"/>
      <c r="DC155" s="347"/>
      <c r="DD155" s="394"/>
      <c r="DE155" s="394"/>
      <c r="DF155" s="394"/>
      <c r="DG155" s="394"/>
      <c r="DH155" s="394"/>
    </row>
    <row r="156" spans="1:112" x14ac:dyDescent="0.25">
      <c r="A156" s="179">
        <v>505</v>
      </c>
      <c r="B156" s="181" t="s">
        <v>187</v>
      </c>
      <c r="C156" s="373">
        <v>20721</v>
      </c>
      <c r="D156" s="360">
        <v>20.5</v>
      </c>
      <c r="E156" s="213"/>
      <c r="G156" s="363">
        <v>12729</v>
      </c>
      <c r="H156" s="363">
        <v>128585</v>
      </c>
      <c r="I156" s="349"/>
      <c r="J156" s="363">
        <v>72831</v>
      </c>
      <c r="K156" s="363">
        <v>3495</v>
      </c>
      <c r="L156" s="363">
        <v>7294</v>
      </c>
      <c r="M156" s="363">
        <v>83620</v>
      </c>
      <c r="N156" s="363">
        <v>29609</v>
      </c>
      <c r="O156" s="363">
        <v>1845</v>
      </c>
      <c r="P156" s="363">
        <v>755</v>
      </c>
      <c r="Q156" s="363">
        <v>323</v>
      </c>
      <c r="R156" s="363">
        <v>62</v>
      </c>
      <c r="S156" s="363">
        <v>-1276</v>
      </c>
      <c r="U156" s="363">
        <v>7038</v>
      </c>
      <c r="V156" s="363">
        <v>0</v>
      </c>
      <c r="W156" s="363">
        <v>0</v>
      </c>
      <c r="X156" s="363">
        <v>-8314</v>
      </c>
      <c r="Y156" s="363">
        <v>31</v>
      </c>
      <c r="Z156" s="363">
        <v>0</v>
      </c>
      <c r="AA156" s="363">
        <v>0</v>
      </c>
      <c r="AB156" s="363">
        <v>-8283</v>
      </c>
      <c r="AD156" s="363">
        <v>69805</v>
      </c>
      <c r="AG156" s="363">
        <v>-7402</v>
      </c>
      <c r="AH156" s="349"/>
      <c r="AJ156" s="363">
        <v>165</v>
      </c>
      <c r="AL156" s="363">
        <v>81844</v>
      </c>
      <c r="AN156" s="349"/>
      <c r="AO156" s="454">
        <v>20783</v>
      </c>
      <c r="AP156" s="478">
        <v>20.5</v>
      </c>
      <c r="AQ156" s="213"/>
      <c r="AS156" s="509">
        <v>10818</v>
      </c>
      <c r="AT156" s="349">
        <v>125536</v>
      </c>
      <c r="AU156" s="480">
        <v>-114718</v>
      </c>
      <c r="AV156" s="199">
        <v>77048</v>
      </c>
      <c r="AW156" s="199">
        <v>4349</v>
      </c>
      <c r="AX156" s="199">
        <v>6503</v>
      </c>
      <c r="AY156" s="199">
        <v>87900</v>
      </c>
      <c r="AZ156" s="199">
        <v>38965</v>
      </c>
      <c r="BA156" s="181">
        <v>1873</v>
      </c>
      <c r="BB156" s="511">
        <v>394</v>
      </c>
      <c r="BC156" s="181">
        <v>300</v>
      </c>
      <c r="BD156" s="181">
        <v>107</v>
      </c>
      <c r="BE156" s="199">
        <v>13819</v>
      </c>
      <c r="BG156" s="183">
        <v>12897</v>
      </c>
      <c r="BH156" s="199">
        <v>0</v>
      </c>
      <c r="BI156" s="199">
        <v>0</v>
      </c>
      <c r="BJ156" s="199">
        <v>922</v>
      </c>
      <c r="BK156" s="199">
        <v>31</v>
      </c>
      <c r="BL156" s="199">
        <v>0</v>
      </c>
      <c r="BM156" s="199">
        <v>0</v>
      </c>
      <c r="BN156" s="199">
        <v>953</v>
      </c>
      <c r="BP156" s="199">
        <v>70758</v>
      </c>
      <c r="BS156" s="211"/>
      <c r="BV156" s="514">
        <v>11814</v>
      </c>
      <c r="BX156" s="181">
        <v>89116</v>
      </c>
      <c r="BZ156" s="349"/>
      <c r="CB156" s="340"/>
      <c r="CC156" s="488">
        <v>20.5</v>
      </c>
      <c r="CD156" s="378"/>
      <c r="CE156" s="378"/>
      <c r="CF156" s="195"/>
      <c r="CG156" s="349"/>
      <c r="CI156" s="181">
        <v>25311</v>
      </c>
      <c r="CJ156" s="183">
        <v>0</v>
      </c>
      <c r="CK156" s="421">
        <v>32467.107791973689</v>
      </c>
      <c r="CL156" s="494">
        <v>33631.933330437518</v>
      </c>
      <c r="CM156" s="483">
        <v>8712.4476447914694</v>
      </c>
      <c r="CN156" s="483">
        <v>8366.4443728701608</v>
      </c>
      <c r="CO156" s="483">
        <v>8463.2826438605643</v>
      </c>
      <c r="CP156" s="433">
        <f t="shared" si="2"/>
        <v>-2858.107791973689</v>
      </c>
      <c r="CQ156" s="212"/>
      <c r="CR156" s="212">
        <v>-1483</v>
      </c>
      <c r="CS156" s="212">
        <v>-3755</v>
      </c>
      <c r="CT156" s="183">
        <v>355</v>
      </c>
      <c r="CU156" s="183">
        <v>1564</v>
      </c>
      <c r="CV156" s="485">
        <v>189</v>
      </c>
      <c r="CX156" s="422"/>
      <c r="CY156" s="475"/>
      <c r="CZ156" s="450"/>
      <c r="DA156" s="394"/>
      <c r="DB156" s="394"/>
      <c r="DC156" s="347"/>
      <c r="DD156" s="394"/>
      <c r="DE156" s="394"/>
      <c r="DF156" s="394"/>
      <c r="DG156" s="394"/>
      <c r="DH156" s="394"/>
    </row>
    <row r="157" spans="1:112" x14ac:dyDescent="0.25">
      <c r="A157" s="179">
        <v>508</v>
      </c>
      <c r="B157" s="181" t="s">
        <v>362</v>
      </c>
      <c r="C157" s="373">
        <v>9855</v>
      </c>
      <c r="D157" s="360">
        <v>22</v>
      </c>
      <c r="E157" s="213"/>
      <c r="G157" s="363">
        <v>19580</v>
      </c>
      <c r="H157" s="363">
        <v>84466</v>
      </c>
      <c r="I157" s="349"/>
      <c r="J157" s="363">
        <v>33804</v>
      </c>
      <c r="K157" s="363">
        <v>2531</v>
      </c>
      <c r="L157" s="363">
        <v>3166</v>
      </c>
      <c r="M157" s="363">
        <v>39501</v>
      </c>
      <c r="N157" s="363">
        <v>24579</v>
      </c>
      <c r="O157" s="363">
        <v>123</v>
      </c>
      <c r="P157" s="363">
        <v>404</v>
      </c>
      <c r="Q157" s="363">
        <v>1857</v>
      </c>
      <c r="R157" s="363">
        <v>8</v>
      </c>
      <c r="S157" s="363">
        <v>762</v>
      </c>
      <c r="U157" s="363">
        <v>2676</v>
      </c>
      <c r="V157" s="363">
        <v>0</v>
      </c>
      <c r="W157" s="363">
        <v>0</v>
      </c>
      <c r="X157" s="363">
        <v>-1914</v>
      </c>
      <c r="Y157" s="363">
        <v>4</v>
      </c>
      <c r="Z157" s="363">
        <v>0</v>
      </c>
      <c r="AA157" s="363">
        <v>0</v>
      </c>
      <c r="AB157" s="363">
        <v>-1910</v>
      </c>
      <c r="AD157" s="363">
        <v>884</v>
      </c>
      <c r="AG157" s="363">
        <v>2</v>
      </c>
      <c r="AH157" s="349"/>
      <c r="AJ157" s="363">
        <v>12291</v>
      </c>
      <c r="AL157" s="363">
        <v>54326</v>
      </c>
      <c r="AN157" s="349"/>
      <c r="AO157" s="454">
        <v>9673</v>
      </c>
      <c r="AP157" s="478">
        <v>22</v>
      </c>
      <c r="AQ157" s="213"/>
      <c r="AS157" s="509">
        <v>17299</v>
      </c>
      <c r="AT157" s="349">
        <v>85076</v>
      </c>
      <c r="AU157" s="480">
        <v>-67777</v>
      </c>
      <c r="AV157" s="199">
        <v>34957</v>
      </c>
      <c r="AW157" s="199">
        <v>3911</v>
      </c>
      <c r="AX157" s="199">
        <v>2848</v>
      </c>
      <c r="AY157" s="199">
        <v>41716</v>
      </c>
      <c r="AZ157" s="199">
        <v>28690</v>
      </c>
      <c r="BA157" s="181">
        <v>134</v>
      </c>
      <c r="BB157" s="511">
        <v>305</v>
      </c>
      <c r="BC157" s="181">
        <v>449</v>
      </c>
      <c r="BD157" s="181">
        <v>2</v>
      </c>
      <c r="BE157" s="199">
        <v>2905</v>
      </c>
      <c r="BG157" s="183">
        <v>2740</v>
      </c>
      <c r="BH157" s="183">
        <v>0</v>
      </c>
      <c r="BI157" s="183">
        <v>0</v>
      </c>
      <c r="BJ157" s="199">
        <v>165</v>
      </c>
      <c r="BK157" s="199">
        <v>4</v>
      </c>
      <c r="BL157" s="183">
        <v>0</v>
      </c>
      <c r="BM157" s="183">
        <v>0</v>
      </c>
      <c r="BN157" s="199">
        <v>169</v>
      </c>
      <c r="BP157" s="199">
        <v>1053</v>
      </c>
      <c r="BS157" s="211"/>
      <c r="BV157" s="514">
        <v>5585</v>
      </c>
      <c r="BX157" s="181">
        <v>42710</v>
      </c>
      <c r="BZ157" s="349"/>
      <c r="CB157" s="340"/>
      <c r="CC157" s="490">
        <v>22</v>
      </c>
      <c r="CD157" s="378"/>
      <c r="CE157" s="366"/>
      <c r="CF157" s="201"/>
      <c r="CG157" s="349"/>
      <c r="CH157" s="347"/>
      <c r="CI157" s="181">
        <v>20512</v>
      </c>
      <c r="CJ157" s="183">
        <v>0</v>
      </c>
      <c r="CK157" s="421">
        <v>25577.784339738788</v>
      </c>
      <c r="CL157" s="494">
        <v>25778.085746492299</v>
      </c>
      <c r="CM157" s="483">
        <v>120.01873517178751</v>
      </c>
      <c r="CN157" s="483">
        <v>-366.05049116624639</v>
      </c>
      <c r="CO157" s="483">
        <v>-767.28630358997498</v>
      </c>
      <c r="CP157" s="433">
        <f t="shared" si="2"/>
        <v>-998.78433973878782</v>
      </c>
      <c r="CQ157" s="212"/>
      <c r="CR157" s="212">
        <v>-21</v>
      </c>
      <c r="CS157" s="212">
        <v>-1278</v>
      </c>
      <c r="CT157" s="183">
        <v>7</v>
      </c>
      <c r="CU157" s="183">
        <v>33</v>
      </c>
      <c r="CV157" s="485">
        <v>93</v>
      </c>
      <c r="CX157" s="422"/>
      <c r="CY157" s="475"/>
      <c r="CZ157" s="450"/>
      <c r="DA157" s="394"/>
      <c r="DB157" s="394"/>
      <c r="DC157" s="347"/>
      <c r="DD157" s="394"/>
      <c r="DE157" s="394"/>
      <c r="DF157" s="394"/>
      <c r="DG157" s="394"/>
      <c r="DH157" s="394"/>
    </row>
    <row r="158" spans="1:112" x14ac:dyDescent="0.25">
      <c r="A158" s="179">
        <v>507</v>
      </c>
      <c r="B158" s="181" t="s">
        <v>188</v>
      </c>
      <c r="C158" s="373">
        <v>5791</v>
      </c>
      <c r="D158" s="360">
        <v>19.75</v>
      </c>
      <c r="E158" s="213"/>
      <c r="G158" s="363">
        <v>4997</v>
      </c>
      <c r="H158" s="363">
        <v>44537</v>
      </c>
      <c r="I158" s="349"/>
      <c r="J158" s="363">
        <v>15618</v>
      </c>
      <c r="K158" s="363">
        <v>2343</v>
      </c>
      <c r="L158" s="363">
        <v>2855</v>
      </c>
      <c r="M158" s="363">
        <v>20816</v>
      </c>
      <c r="N158" s="363">
        <v>17949</v>
      </c>
      <c r="O158" s="363">
        <v>29</v>
      </c>
      <c r="P158" s="363">
        <v>136</v>
      </c>
      <c r="Q158" s="363">
        <v>360</v>
      </c>
      <c r="R158" s="363">
        <v>11</v>
      </c>
      <c r="S158" s="363">
        <v>-533</v>
      </c>
      <c r="U158" s="363">
        <v>1887</v>
      </c>
      <c r="V158" s="363">
        <v>0</v>
      </c>
      <c r="W158" s="363">
        <v>0</v>
      </c>
      <c r="X158" s="363">
        <v>-2420</v>
      </c>
      <c r="Y158" s="363">
        <v>0</v>
      </c>
      <c r="Z158" s="363">
        <v>0</v>
      </c>
      <c r="AA158" s="363">
        <v>0</v>
      </c>
      <c r="AB158" s="363">
        <v>-2420</v>
      </c>
      <c r="AD158" s="363">
        <v>3293</v>
      </c>
      <c r="AG158" s="363">
        <v>-3915</v>
      </c>
      <c r="AH158" s="349"/>
      <c r="AJ158" s="363">
        <v>3773</v>
      </c>
      <c r="AL158" s="363">
        <v>18277</v>
      </c>
      <c r="AN158" s="349"/>
      <c r="AO158" s="454">
        <v>5676</v>
      </c>
      <c r="AP158" s="478">
        <v>20.25</v>
      </c>
      <c r="AQ158" s="213"/>
      <c r="AS158" s="509">
        <v>5386</v>
      </c>
      <c r="AT158" s="349">
        <v>44025</v>
      </c>
      <c r="AU158" s="480">
        <v>-38639</v>
      </c>
      <c r="AV158" s="199">
        <v>16696</v>
      </c>
      <c r="AW158" s="199">
        <v>2793</v>
      </c>
      <c r="AX158" s="199">
        <v>2577</v>
      </c>
      <c r="AY158" s="199">
        <v>22066</v>
      </c>
      <c r="AZ158" s="199">
        <v>20847</v>
      </c>
      <c r="BA158" s="181">
        <v>30</v>
      </c>
      <c r="BB158" s="511">
        <v>133</v>
      </c>
      <c r="BC158" s="181">
        <v>393</v>
      </c>
      <c r="BD158" s="181">
        <v>25</v>
      </c>
      <c r="BE158" s="199">
        <v>4539</v>
      </c>
      <c r="BG158" s="183">
        <v>2108</v>
      </c>
      <c r="BH158" s="183">
        <v>5</v>
      </c>
      <c r="BI158" s="199">
        <v>276</v>
      </c>
      <c r="BJ158" s="199">
        <v>2160</v>
      </c>
      <c r="BK158" s="199">
        <v>0</v>
      </c>
      <c r="BL158" s="199">
        <v>0</v>
      </c>
      <c r="BM158" s="183">
        <v>0</v>
      </c>
      <c r="BN158" s="199">
        <v>2160</v>
      </c>
      <c r="BP158" s="199">
        <v>5454</v>
      </c>
      <c r="BS158" s="211"/>
      <c r="BV158" s="514">
        <v>3352</v>
      </c>
      <c r="BX158" s="181">
        <v>20241</v>
      </c>
      <c r="BZ158" s="349"/>
      <c r="CB158" s="340"/>
      <c r="CC158" s="488">
        <v>20.25</v>
      </c>
      <c r="CD158" s="378"/>
      <c r="CE158" s="378"/>
      <c r="CF158" s="195"/>
      <c r="CG158" s="349"/>
      <c r="CI158" s="181">
        <v>15041</v>
      </c>
      <c r="CJ158" s="183">
        <v>0</v>
      </c>
      <c r="CK158" s="421">
        <v>19530.54642803959</v>
      </c>
      <c r="CL158" s="494">
        <v>19816.227275287943</v>
      </c>
      <c r="CM158" s="483">
        <v>2000.4745003208093</v>
      </c>
      <c r="CN158" s="483">
        <v>2361.9095115311516</v>
      </c>
      <c r="CO158" s="483">
        <v>2309.5777214228169</v>
      </c>
      <c r="CP158" s="433">
        <f t="shared" si="2"/>
        <v>-1581.54642803959</v>
      </c>
      <c r="CQ158" s="212"/>
      <c r="CR158" s="212">
        <v>-40</v>
      </c>
      <c r="CS158" s="212">
        <v>-6333</v>
      </c>
      <c r="CT158" s="183">
        <v>525</v>
      </c>
      <c r="CU158" s="183">
        <v>45</v>
      </c>
      <c r="CV158" s="485">
        <v>54</v>
      </c>
      <c r="CX158" s="422"/>
      <c r="CY158" s="475"/>
      <c r="CZ158" s="450"/>
      <c r="DA158" s="394"/>
      <c r="DB158" s="394"/>
      <c r="DC158" s="347"/>
      <c r="DD158" s="394"/>
      <c r="DE158" s="394"/>
      <c r="DF158" s="394"/>
      <c r="DG158" s="394"/>
      <c r="DH158" s="394"/>
    </row>
    <row r="159" spans="1:112" x14ac:dyDescent="0.25">
      <c r="A159" s="179">
        <v>529</v>
      </c>
      <c r="B159" s="181" t="s">
        <v>189</v>
      </c>
      <c r="C159" s="373">
        <v>19314</v>
      </c>
      <c r="D159" s="360">
        <v>19</v>
      </c>
      <c r="E159" s="213"/>
      <c r="G159" s="363">
        <v>26095</v>
      </c>
      <c r="H159" s="363">
        <v>123915</v>
      </c>
      <c r="I159" s="349"/>
      <c r="J159" s="363">
        <v>74045</v>
      </c>
      <c r="K159" s="363">
        <v>9947</v>
      </c>
      <c r="L159" s="363">
        <v>6786</v>
      </c>
      <c r="M159" s="363">
        <v>90778</v>
      </c>
      <c r="N159" s="363">
        <v>15447</v>
      </c>
      <c r="O159" s="363">
        <v>745</v>
      </c>
      <c r="P159" s="363">
        <v>454</v>
      </c>
      <c r="Q159" s="363">
        <v>2143</v>
      </c>
      <c r="R159" s="363">
        <v>2</v>
      </c>
      <c r="S159" s="363">
        <v>10837</v>
      </c>
      <c r="U159" s="363">
        <v>8909</v>
      </c>
      <c r="V159" s="363">
        <v>413</v>
      </c>
      <c r="W159" s="363">
        <v>0</v>
      </c>
      <c r="X159" s="363">
        <v>2341</v>
      </c>
      <c r="Y159" s="363">
        <v>67</v>
      </c>
      <c r="Z159" s="363">
        <v>1700</v>
      </c>
      <c r="AA159" s="363">
        <v>0</v>
      </c>
      <c r="AB159" s="363">
        <v>4108</v>
      </c>
      <c r="AD159" s="363">
        <v>49151</v>
      </c>
      <c r="AG159" s="363">
        <v>-6605</v>
      </c>
      <c r="AH159" s="349"/>
      <c r="AJ159" s="363">
        <v>1212</v>
      </c>
      <c r="AL159" s="363">
        <v>14500</v>
      </c>
      <c r="AN159" s="349"/>
      <c r="AO159" s="454">
        <v>19427</v>
      </c>
      <c r="AP159" s="478">
        <v>19</v>
      </c>
      <c r="AQ159" s="213"/>
      <c r="AS159" s="509">
        <v>24352</v>
      </c>
      <c r="AT159" s="349">
        <v>125278</v>
      </c>
      <c r="AU159" s="480">
        <v>-100926</v>
      </c>
      <c r="AV159" s="199">
        <v>78673</v>
      </c>
      <c r="AW159" s="199">
        <v>10309</v>
      </c>
      <c r="AX159" s="199">
        <v>6219</v>
      </c>
      <c r="AY159" s="199">
        <v>95201</v>
      </c>
      <c r="AZ159" s="199">
        <v>22927</v>
      </c>
      <c r="BA159" s="181">
        <v>728</v>
      </c>
      <c r="BB159" s="511">
        <v>475</v>
      </c>
      <c r="BC159" s="181">
        <v>1525</v>
      </c>
      <c r="BD159" s="181">
        <v>0</v>
      </c>
      <c r="BE159" s="199">
        <v>18980</v>
      </c>
      <c r="BG159" s="183">
        <v>8783</v>
      </c>
      <c r="BH159" s="183">
        <v>0</v>
      </c>
      <c r="BI159" s="183">
        <v>0</v>
      </c>
      <c r="BJ159" s="199">
        <v>10197</v>
      </c>
      <c r="BK159" s="183">
        <v>67</v>
      </c>
      <c r="BL159" s="183">
        <v>0</v>
      </c>
      <c r="BM159" s="183">
        <v>0</v>
      </c>
      <c r="BN159" s="199">
        <v>10264</v>
      </c>
      <c r="BP159" s="199">
        <v>59415</v>
      </c>
      <c r="BS159" s="211"/>
      <c r="BV159" s="514">
        <v>8430</v>
      </c>
      <c r="BX159" s="181">
        <v>15000</v>
      </c>
      <c r="BZ159" s="349"/>
      <c r="CB159" s="340"/>
      <c r="CC159" s="488">
        <v>19</v>
      </c>
      <c r="CD159" s="378"/>
      <c r="CE159" s="378"/>
      <c r="CF159" s="195"/>
      <c r="CG159" s="349"/>
      <c r="CI159" s="181">
        <v>15486</v>
      </c>
      <c r="CJ159" s="183">
        <v>0</v>
      </c>
      <c r="CK159" s="421">
        <v>17999.153613833478</v>
      </c>
      <c r="CL159" s="494">
        <v>19951.662013250854</v>
      </c>
      <c r="CM159" s="483">
        <v>3728.5864072866907</v>
      </c>
      <c r="CN159" s="483">
        <v>3990.865535128497</v>
      </c>
      <c r="CO159" s="483">
        <v>4141.0569708663279</v>
      </c>
      <c r="CP159" s="433">
        <f t="shared" si="2"/>
        <v>-2552.1536138334777</v>
      </c>
      <c r="CQ159" s="212"/>
      <c r="CR159" s="212">
        <v>-1759</v>
      </c>
      <c r="CS159" s="212">
        <v>-14867</v>
      </c>
      <c r="CT159" s="183">
        <v>139</v>
      </c>
      <c r="CU159" s="183">
        <v>2022</v>
      </c>
      <c r="CV159" s="485">
        <v>-287</v>
      </c>
      <c r="CX159" s="422"/>
      <c r="CY159" s="475"/>
      <c r="CZ159" s="450"/>
      <c r="DA159" s="394"/>
      <c r="DB159" s="394"/>
      <c r="DC159" s="347"/>
      <c r="DD159" s="394"/>
      <c r="DE159" s="394"/>
      <c r="DF159" s="394"/>
      <c r="DG159" s="394"/>
      <c r="DH159" s="394"/>
    </row>
    <row r="160" spans="1:112" x14ac:dyDescent="0.25">
      <c r="A160" s="179">
        <v>531</v>
      </c>
      <c r="B160" s="181" t="s">
        <v>190</v>
      </c>
      <c r="C160" s="373">
        <v>5329</v>
      </c>
      <c r="D160" s="360">
        <v>21.25</v>
      </c>
      <c r="E160" s="213"/>
      <c r="G160" s="363">
        <v>3875</v>
      </c>
      <c r="H160" s="363">
        <v>33837</v>
      </c>
      <c r="I160" s="349"/>
      <c r="J160" s="363">
        <v>17564</v>
      </c>
      <c r="K160" s="363">
        <v>517</v>
      </c>
      <c r="L160" s="363">
        <v>1349</v>
      </c>
      <c r="M160" s="363">
        <v>19430</v>
      </c>
      <c r="N160" s="363">
        <v>11054</v>
      </c>
      <c r="O160" s="363">
        <v>23</v>
      </c>
      <c r="P160" s="363">
        <v>65</v>
      </c>
      <c r="Q160" s="363">
        <v>92</v>
      </c>
      <c r="R160" s="363">
        <v>1</v>
      </c>
      <c r="S160" s="363">
        <v>571</v>
      </c>
      <c r="U160" s="363">
        <v>1467</v>
      </c>
      <c r="V160" s="363">
        <v>0</v>
      </c>
      <c r="W160" s="363">
        <v>0</v>
      </c>
      <c r="X160" s="363">
        <v>-896</v>
      </c>
      <c r="Y160" s="363">
        <v>20</v>
      </c>
      <c r="Z160" s="363">
        <v>0</v>
      </c>
      <c r="AA160" s="363">
        <v>0</v>
      </c>
      <c r="AB160" s="363">
        <v>-876</v>
      </c>
      <c r="AD160" s="363">
        <v>3171</v>
      </c>
      <c r="AG160" s="363">
        <v>-1137</v>
      </c>
      <c r="AH160" s="349"/>
      <c r="AJ160" s="363">
        <v>3905</v>
      </c>
      <c r="AL160" s="363">
        <v>8550</v>
      </c>
      <c r="AN160" s="349"/>
      <c r="AO160" s="454">
        <v>5256</v>
      </c>
      <c r="AP160" s="478">
        <v>21.25</v>
      </c>
      <c r="AQ160" s="213"/>
      <c r="AS160" s="509">
        <v>3891</v>
      </c>
      <c r="AT160" s="349">
        <v>34201</v>
      </c>
      <c r="AU160" s="480">
        <v>-30310</v>
      </c>
      <c r="AV160" s="199">
        <v>17726</v>
      </c>
      <c r="AW160" s="199">
        <v>526</v>
      </c>
      <c r="AX160" s="199">
        <v>1390</v>
      </c>
      <c r="AY160" s="199">
        <v>19642</v>
      </c>
      <c r="AZ160" s="199">
        <v>13361</v>
      </c>
      <c r="BA160" s="181">
        <v>20</v>
      </c>
      <c r="BB160" s="511">
        <v>60</v>
      </c>
      <c r="BC160" s="181">
        <v>86</v>
      </c>
      <c r="BD160" s="181">
        <v>2</v>
      </c>
      <c r="BE160" s="199">
        <v>2737</v>
      </c>
      <c r="BG160" s="183">
        <v>1476</v>
      </c>
      <c r="BH160" s="183">
        <v>0</v>
      </c>
      <c r="BI160" s="183">
        <v>0</v>
      </c>
      <c r="BJ160" s="199">
        <v>1261</v>
      </c>
      <c r="BK160" s="183">
        <v>20</v>
      </c>
      <c r="BL160" s="183">
        <v>0</v>
      </c>
      <c r="BM160" s="183">
        <v>0</v>
      </c>
      <c r="BN160" s="199">
        <v>1281</v>
      </c>
      <c r="BP160" s="199">
        <v>4452</v>
      </c>
      <c r="BS160" s="211"/>
      <c r="BV160" s="514">
        <v>4065</v>
      </c>
      <c r="BX160" s="181">
        <v>7250</v>
      </c>
      <c r="BZ160" s="349"/>
      <c r="CB160" s="340"/>
      <c r="CC160" s="488">
        <v>21.25</v>
      </c>
      <c r="CD160" s="378"/>
      <c r="CE160" s="378"/>
      <c r="CF160" s="195"/>
      <c r="CG160" s="349"/>
      <c r="CI160" s="181">
        <v>10072</v>
      </c>
      <c r="CJ160" s="183">
        <v>0</v>
      </c>
      <c r="CK160" s="421">
        <v>12504.571662905533</v>
      </c>
      <c r="CL160" s="494">
        <v>12599.700844687577</v>
      </c>
      <c r="CM160" s="483">
        <v>2650.3228674220181</v>
      </c>
      <c r="CN160" s="483">
        <v>2358.1988165212883</v>
      </c>
      <c r="CO160" s="483">
        <v>2292.8484719427092</v>
      </c>
      <c r="CP160" s="433">
        <f t="shared" si="2"/>
        <v>-1450.5716629055332</v>
      </c>
      <c r="CQ160" s="212"/>
      <c r="CR160" s="212">
        <v>-72</v>
      </c>
      <c r="CS160" s="212">
        <v>-1201</v>
      </c>
      <c r="CT160" s="183">
        <v>76</v>
      </c>
      <c r="CU160" s="183">
        <v>92</v>
      </c>
      <c r="CV160" s="485">
        <v>70</v>
      </c>
      <c r="CX160" s="422"/>
      <c r="CY160" s="475"/>
      <c r="CZ160" s="450"/>
      <c r="DA160" s="394"/>
      <c r="DB160" s="394"/>
      <c r="DC160" s="347"/>
      <c r="DD160" s="394"/>
      <c r="DE160" s="394"/>
      <c r="DF160" s="394"/>
      <c r="DG160" s="394"/>
      <c r="DH160" s="394"/>
    </row>
    <row r="161" spans="1:112" x14ac:dyDescent="0.25">
      <c r="A161" s="352">
        <v>535</v>
      </c>
      <c r="B161" s="349" t="s">
        <v>191</v>
      </c>
      <c r="C161" s="373">
        <v>10639</v>
      </c>
      <c r="D161" s="360">
        <v>22</v>
      </c>
      <c r="E161" s="429"/>
      <c r="F161" s="349"/>
      <c r="G161" s="363">
        <v>10493</v>
      </c>
      <c r="H161" s="363">
        <v>79766</v>
      </c>
      <c r="I161" s="349"/>
      <c r="J161" s="363">
        <v>29013</v>
      </c>
      <c r="K161" s="363">
        <v>1238</v>
      </c>
      <c r="L161" s="363">
        <v>2518</v>
      </c>
      <c r="M161" s="363">
        <v>32769</v>
      </c>
      <c r="N161" s="363">
        <v>37284</v>
      </c>
      <c r="O161" s="363">
        <v>167</v>
      </c>
      <c r="P161" s="363">
        <v>118</v>
      </c>
      <c r="Q161" s="363">
        <v>429</v>
      </c>
      <c r="R161" s="363">
        <v>-460</v>
      </c>
      <c r="S161" s="363">
        <v>1718</v>
      </c>
      <c r="T161" s="349"/>
      <c r="U161" s="363">
        <v>2294</v>
      </c>
      <c r="V161" s="363">
        <v>0</v>
      </c>
      <c r="W161" s="363">
        <v>0</v>
      </c>
      <c r="X161" s="363">
        <v>-576</v>
      </c>
      <c r="Y161" s="363">
        <v>2</v>
      </c>
      <c r="Z161" s="363">
        <v>0</v>
      </c>
      <c r="AA161" s="363">
        <v>0</v>
      </c>
      <c r="AB161" s="363">
        <v>-574</v>
      </c>
      <c r="AC161" s="349"/>
      <c r="AD161" s="363">
        <v>6053</v>
      </c>
      <c r="AE161" s="349"/>
      <c r="AF161" s="349"/>
      <c r="AG161" s="363">
        <v>-3433</v>
      </c>
      <c r="AH161" s="349"/>
      <c r="AI161" s="349"/>
      <c r="AJ161" s="363">
        <v>20353</v>
      </c>
      <c r="AK161" s="349"/>
      <c r="AL161" s="363">
        <v>57221</v>
      </c>
      <c r="AM161" s="349"/>
      <c r="AN161" s="349"/>
      <c r="AO161" s="508">
        <v>10500</v>
      </c>
      <c r="AP161" s="478">
        <v>22</v>
      </c>
      <c r="AQ161" s="429"/>
      <c r="AR161" s="349"/>
      <c r="AS161" s="509">
        <v>10225</v>
      </c>
      <c r="AT161" s="349">
        <v>80684</v>
      </c>
      <c r="AU161" s="482">
        <v>-70459</v>
      </c>
      <c r="AV161" s="364">
        <v>30009</v>
      </c>
      <c r="AW161" s="364">
        <v>1504</v>
      </c>
      <c r="AX161" s="364">
        <v>2291</v>
      </c>
      <c r="AY161" s="364">
        <v>33804</v>
      </c>
      <c r="AZ161" s="364">
        <v>42378</v>
      </c>
      <c r="BA161" s="349">
        <v>151</v>
      </c>
      <c r="BB161" s="510">
        <v>118</v>
      </c>
      <c r="BC161" s="349">
        <v>573</v>
      </c>
      <c r="BD161" s="349">
        <v>142</v>
      </c>
      <c r="BE161" s="364">
        <v>6187</v>
      </c>
      <c r="BF161" s="349"/>
      <c r="BG161" s="347">
        <v>2346</v>
      </c>
      <c r="BH161" s="347">
        <v>0</v>
      </c>
      <c r="BI161" s="364">
        <v>0</v>
      </c>
      <c r="BJ161" s="364">
        <v>3841</v>
      </c>
      <c r="BK161" s="364">
        <v>2</v>
      </c>
      <c r="BL161" s="347">
        <v>0</v>
      </c>
      <c r="BM161" s="347">
        <v>0</v>
      </c>
      <c r="BN161" s="364">
        <v>3843</v>
      </c>
      <c r="BO161" s="349"/>
      <c r="BP161" s="364">
        <v>9896</v>
      </c>
      <c r="BQ161" s="349"/>
      <c r="BR161" s="349"/>
      <c r="BS161" s="365"/>
      <c r="BT161" s="349"/>
      <c r="BU161" s="349"/>
      <c r="BV161" s="510">
        <v>23527</v>
      </c>
      <c r="BW161" s="349"/>
      <c r="BX161" s="349">
        <v>64650</v>
      </c>
      <c r="BY161" s="349"/>
      <c r="BZ161" s="349"/>
      <c r="CA161" s="349"/>
      <c r="CB161" s="340"/>
      <c r="CC161" s="488">
        <v>22</v>
      </c>
      <c r="CD161" s="378"/>
      <c r="CE161" s="378"/>
      <c r="CF161" s="359"/>
      <c r="CG161" s="349"/>
      <c r="CH161" s="347"/>
      <c r="CI161" s="349">
        <v>27461</v>
      </c>
      <c r="CJ161" s="347">
        <v>0</v>
      </c>
      <c r="CK161" s="421">
        <v>40966.172540604137</v>
      </c>
      <c r="CL161" s="494">
        <v>43410.345276620959</v>
      </c>
      <c r="CM161" s="475">
        <v>15026.23136541</v>
      </c>
      <c r="CN161" s="475">
        <v>15092.417518377413</v>
      </c>
      <c r="CO161" s="475">
        <v>15298.89883217896</v>
      </c>
      <c r="CP161" s="433">
        <f t="shared" si="2"/>
        <v>-3682.1725406041369</v>
      </c>
      <c r="CQ161" s="363"/>
      <c r="CR161" s="363">
        <v>-10</v>
      </c>
      <c r="CS161" s="363">
        <v>-6300</v>
      </c>
      <c r="CT161" s="347">
        <v>0</v>
      </c>
      <c r="CU161" s="347">
        <v>63</v>
      </c>
      <c r="CV161" s="485">
        <v>0</v>
      </c>
      <c r="CW161" s="357"/>
      <c r="CX161" s="347"/>
      <c r="CY161" s="475"/>
      <c r="CZ161" s="394"/>
      <c r="DA161" s="394"/>
      <c r="DB161" s="394"/>
      <c r="DC161" s="347"/>
      <c r="DD161" s="394"/>
      <c r="DE161" s="394"/>
      <c r="DF161" s="394"/>
      <c r="DG161" s="394"/>
      <c r="DH161" s="394"/>
    </row>
    <row r="162" spans="1:112" x14ac:dyDescent="0.25">
      <c r="A162" s="179">
        <v>536</v>
      </c>
      <c r="B162" s="181" t="s">
        <v>192</v>
      </c>
      <c r="C162" s="373">
        <v>33929</v>
      </c>
      <c r="D162" s="360">
        <v>20.5</v>
      </c>
      <c r="E162" s="213"/>
      <c r="G162" s="363">
        <v>31554</v>
      </c>
      <c r="H162" s="363">
        <v>201850</v>
      </c>
      <c r="I162" s="349"/>
      <c r="J162" s="363">
        <v>120432</v>
      </c>
      <c r="K162" s="363">
        <v>9234</v>
      </c>
      <c r="L162" s="363">
        <v>8942</v>
      </c>
      <c r="M162" s="363">
        <v>138608</v>
      </c>
      <c r="N162" s="363">
        <v>38787</v>
      </c>
      <c r="O162" s="363">
        <v>154</v>
      </c>
      <c r="P162" s="363">
        <v>934</v>
      </c>
      <c r="Q162" s="363">
        <v>1331</v>
      </c>
      <c r="R162" s="363">
        <v>64</v>
      </c>
      <c r="S162" s="363">
        <v>7586</v>
      </c>
      <c r="U162" s="363">
        <v>13425</v>
      </c>
      <c r="V162" s="363">
        <v>0</v>
      </c>
      <c r="W162" s="363">
        <v>0</v>
      </c>
      <c r="X162" s="363">
        <v>-5839</v>
      </c>
      <c r="Y162" s="363">
        <v>67</v>
      </c>
      <c r="Z162" s="363">
        <v>0</v>
      </c>
      <c r="AA162" s="363">
        <v>0</v>
      </c>
      <c r="AB162" s="363">
        <v>-5772</v>
      </c>
      <c r="AD162" s="363">
        <v>-146</v>
      </c>
      <c r="AG162" s="363">
        <v>-15765</v>
      </c>
      <c r="AH162" s="349"/>
      <c r="AJ162" s="363">
        <v>26656</v>
      </c>
      <c r="AL162" s="363">
        <v>91600</v>
      </c>
      <c r="AN162" s="349"/>
      <c r="AO162" s="454">
        <v>34476</v>
      </c>
      <c r="AP162" s="478">
        <v>21</v>
      </c>
      <c r="AQ162" s="213"/>
      <c r="AS162" s="509">
        <v>36137</v>
      </c>
      <c r="AT162" s="349">
        <v>211376</v>
      </c>
      <c r="AU162" s="480">
        <v>-175239</v>
      </c>
      <c r="AV162" s="199">
        <v>130209</v>
      </c>
      <c r="AW162" s="199">
        <v>9047</v>
      </c>
      <c r="AX162" s="199">
        <v>8321</v>
      </c>
      <c r="AY162" s="199">
        <v>147577</v>
      </c>
      <c r="AZ162" s="199">
        <v>52910</v>
      </c>
      <c r="BA162" s="181">
        <v>135</v>
      </c>
      <c r="BB162" s="511">
        <v>837</v>
      </c>
      <c r="BC162" s="181">
        <v>1285</v>
      </c>
      <c r="BD162" s="181">
        <v>100</v>
      </c>
      <c r="BE162" s="199">
        <v>25731</v>
      </c>
      <c r="BG162" s="183">
        <v>11845</v>
      </c>
      <c r="BH162" s="183">
        <v>0</v>
      </c>
      <c r="BI162" s="183">
        <v>0</v>
      </c>
      <c r="BJ162" s="199">
        <v>13886</v>
      </c>
      <c r="BK162" s="183">
        <v>67</v>
      </c>
      <c r="BL162" s="183">
        <v>0</v>
      </c>
      <c r="BM162" s="199">
        <v>0</v>
      </c>
      <c r="BN162" s="199">
        <v>13953</v>
      </c>
      <c r="BP162" s="199">
        <v>13807</v>
      </c>
      <c r="BS162" s="211"/>
      <c r="BV162" s="514">
        <v>42899</v>
      </c>
      <c r="BX162" s="181">
        <v>101665</v>
      </c>
      <c r="BZ162" s="349"/>
      <c r="CB162" s="340"/>
      <c r="CC162" s="488">
        <v>21</v>
      </c>
      <c r="CD162" s="378"/>
      <c r="CE162" s="378"/>
      <c r="CF162" s="195"/>
      <c r="CG162" s="349"/>
      <c r="CI162" s="181">
        <v>32524</v>
      </c>
      <c r="CJ162" s="183">
        <v>0</v>
      </c>
      <c r="CK162" s="421">
        <v>45379.856314081037</v>
      </c>
      <c r="CL162" s="494">
        <v>50396.635177330849</v>
      </c>
      <c r="CM162" s="483">
        <v>21068.207230617882</v>
      </c>
      <c r="CN162" s="483">
        <v>19138.771991333215</v>
      </c>
      <c r="CO162" s="483">
        <v>18534.047176623175</v>
      </c>
      <c r="CP162" s="433">
        <f t="shared" si="2"/>
        <v>-6592.8563140810365</v>
      </c>
      <c r="CQ162" s="212"/>
      <c r="CR162" s="212">
        <v>-4035</v>
      </c>
      <c r="CS162" s="212">
        <v>-30092</v>
      </c>
      <c r="CT162" s="183">
        <v>0</v>
      </c>
      <c r="CU162" s="183">
        <v>4258</v>
      </c>
      <c r="CV162" s="485">
        <v>835</v>
      </c>
      <c r="CX162" s="422"/>
      <c r="CY162" s="475"/>
      <c r="CZ162" s="450"/>
      <c r="DA162" s="394"/>
      <c r="DB162" s="394"/>
      <c r="DC162" s="347"/>
      <c r="DD162" s="394"/>
      <c r="DE162" s="394"/>
      <c r="DF162" s="394"/>
      <c r="DG162" s="394"/>
      <c r="DH162" s="394"/>
    </row>
    <row r="163" spans="1:112" x14ac:dyDescent="0.25">
      <c r="A163" s="179">
        <v>538</v>
      </c>
      <c r="B163" s="181" t="s">
        <v>193</v>
      </c>
      <c r="C163" s="373">
        <v>4715</v>
      </c>
      <c r="D163" s="360">
        <v>21.5</v>
      </c>
      <c r="E163" s="213"/>
      <c r="G163" s="363">
        <v>2352</v>
      </c>
      <c r="H163" s="363">
        <v>29123</v>
      </c>
      <c r="I163" s="349"/>
      <c r="J163" s="363">
        <v>16220</v>
      </c>
      <c r="K163" s="363">
        <v>414</v>
      </c>
      <c r="L163" s="363">
        <v>873</v>
      </c>
      <c r="M163" s="363">
        <v>17507</v>
      </c>
      <c r="N163" s="363">
        <v>8820</v>
      </c>
      <c r="O163" s="363">
        <v>19</v>
      </c>
      <c r="P163" s="363">
        <v>55</v>
      </c>
      <c r="Q163" s="363">
        <v>16</v>
      </c>
      <c r="R163" s="363">
        <v>65</v>
      </c>
      <c r="S163" s="363">
        <v>-529</v>
      </c>
      <c r="U163" s="363">
        <v>1054</v>
      </c>
      <c r="V163" s="363">
        <v>0</v>
      </c>
      <c r="W163" s="363">
        <v>0</v>
      </c>
      <c r="X163" s="363">
        <v>-1583</v>
      </c>
      <c r="Y163" s="363">
        <v>101</v>
      </c>
      <c r="Z163" s="363">
        <v>0</v>
      </c>
      <c r="AA163" s="363">
        <v>0</v>
      </c>
      <c r="AB163" s="363">
        <v>-1482</v>
      </c>
      <c r="AD163" s="363">
        <v>71</v>
      </c>
      <c r="AG163" s="363">
        <v>-2822</v>
      </c>
      <c r="AH163" s="349"/>
      <c r="AJ163" s="363">
        <v>546</v>
      </c>
      <c r="AL163" s="363">
        <v>12287</v>
      </c>
      <c r="AN163" s="349"/>
      <c r="AO163" s="454">
        <v>4693</v>
      </c>
      <c r="AP163" s="478">
        <v>21.5</v>
      </c>
      <c r="AQ163" s="213"/>
      <c r="AS163" s="509">
        <v>2172</v>
      </c>
      <c r="AT163" s="349">
        <v>28329</v>
      </c>
      <c r="AU163" s="480">
        <v>-26157</v>
      </c>
      <c r="AV163" s="199">
        <v>17312</v>
      </c>
      <c r="AW163" s="199">
        <v>369</v>
      </c>
      <c r="AX163" s="199">
        <v>788</v>
      </c>
      <c r="AY163" s="199">
        <v>18469</v>
      </c>
      <c r="AZ163" s="199">
        <v>11820</v>
      </c>
      <c r="BA163" s="181">
        <v>18</v>
      </c>
      <c r="BB163" s="511">
        <v>45</v>
      </c>
      <c r="BC163" s="181">
        <v>18</v>
      </c>
      <c r="BD163" s="181">
        <v>68</v>
      </c>
      <c r="BE163" s="199">
        <v>4055</v>
      </c>
      <c r="BG163" s="183">
        <v>1433</v>
      </c>
      <c r="BH163" s="199">
        <v>0</v>
      </c>
      <c r="BI163" s="183">
        <v>0</v>
      </c>
      <c r="BJ163" s="199">
        <v>2622</v>
      </c>
      <c r="BK163" s="199">
        <v>25</v>
      </c>
      <c r="BL163" s="183">
        <v>0</v>
      </c>
      <c r="BM163" s="183">
        <v>0</v>
      </c>
      <c r="BN163" s="199">
        <v>2647</v>
      </c>
      <c r="BP163" s="199">
        <v>2718</v>
      </c>
      <c r="BS163" s="211"/>
      <c r="BV163" s="514">
        <v>537</v>
      </c>
      <c r="BX163" s="181">
        <v>16355</v>
      </c>
      <c r="BZ163" s="349"/>
      <c r="CB163" s="340"/>
      <c r="CC163" s="488">
        <v>21.5</v>
      </c>
      <c r="CD163" s="378"/>
      <c r="CE163" s="378"/>
      <c r="CF163" s="195"/>
      <c r="CG163" s="349"/>
      <c r="CI163" s="181">
        <v>8748</v>
      </c>
      <c r="CJ163" s="183">
        <v>0</v>
      </c>
      <c r="CK163" s="421">
        <v>10095.448185259731</v>
      </c>
      <c r="CL163" s="494">
        <v>10599.316951437269</v>
      </c>
      <c r="CM163" s="483">
        <v>5202.6305343553868</v>
      </c>
      <c r="CN163" s="483">
        <v>4766.3929096038792</v>
      </c>
      <c r="CO163" s="483">
        <v>4579.6814520606695</v>
      </c>
      <c r="CP163" s="433">
        <f t="shared" si="2"/>
        <v>-1275.448185259731</v>
      </c>
      <c r="CQ163" s="212"/>
      <c r="CR163" s="212">
        <v>-107</v>
      </c>
      <c r="CS163" s="212">
        <v>-8650</v>
      </c>
      <c r="CT163" s="183">
        <v>375</v>
      </c>
      <c r="CU163" s="183">
        <v>121</v>
      </c>
      <c r="CV163" s="485">
        <v>28</v>
      </c>
      <c r="CX163" s="422"/>
      <c r="CY163" s="475"/>
      <c r="CZ163" s="450"/>
      <c r="DA163" s="394"/>
      <c r="DB163" s="394"/>
      <c r="DC163" s="347"/>
      <c r="DD163" s="394"/>
      <c r="DE163" s="394"/>
      <c r="DF163" s="394"/>
      <c r="DG163" s="394"/>
      <c r="DH163" s="394"/>
    </row>
    <row r="164" spans="1:112" x14ac:dyDescent="0.25">
      <c r="A164" s="179">
        <v>541</v>
      </c>
      <c r="B164" s="181" t="s">
        <v>194</v>
      </c>
      <c r="C164" s="373">
        <v>7455</v>
      </c>
      <c r="D164" s="360">
        <v>20.5</v>
      </c>
      <c r="E164" s="213"/>
      <c r="G164" s="363">
        <v>6800</v>
      </c>
      <c r="H164" s="363">
        <v>56955</v>
      </c>
      <c r="I164" s="349"/>
      <c r="J164" s="363">
        <v>19850</v>
      </c>
      <c r="K164" s="363">
        <v>2472</v>
      </c>
      <c r="L164" s="363">
        <v>1702</v>
      </c>
      <c r="M164" s="363">
        <v>24024</v>
      </c>
      <c r="N164" s="363">
        <v>29252</v>
      </c>
      <c r="O164" s="363">
        <v>59</v>
      </c>
      <c r="P164" s="363">
        <v>90</v>
      </c>
      <c r="Q164" s="363">
        <v>338</v>
      </c>
      <c r="R164" s="363">
        <v>16</v>
      </c>
      <c r="S164" s="363">
        <v>3412</v>
      </c>
      <c r="U164" s="363">
        <v>4011</v>
      </c>
      <c r="V164" s="363">
        <v>0</v>
      </c>
      <c r="W164" s="363">
        <v>0</v>
      </c>
      <c r="X164" s="363">
        <v>-599</v>
      </c>
      <c r="Y164" s="363">
        <v>26</v>
      </c>
      <c r="Z164" s="363">
        <v>500</v>
      </c>
      <c r="AA164" s="363">
        <v>-36</v>
      </c>
      <c r="AB164" s="363">
        <v>-109</v>
      </c>
      <c r="AD164" s="363">
        <v>9809</v>
      </c>
      <c r="AG164" s="363">
        <v>-6857</v>
      </c>
      <c r="AH164" s="349"/>
      <c r="AJ164" s="363">
        <v>1364</v>
      </c>
      <c r="AL164" s="363">
        <v>13155</v>
      </c>
      <c r="AN164" s="349"/>
      <c r="AO164" s="454">
        <v>9501</v>
      </c>
      <c r="AP164" s="478">
        <v>20.5</v>
      </c>
      <c r="AQ164" s="213"/>
      <c r="AS164" s="509">
        <v>11240</v>
      </c>
      <c r="AT164" s="349">
        <v>76978</v>
      </c>
      <c r="AU164" s="480">
        <v>-65738</v>
      </c>
      <c r="AV164" s="199">
        <v>24487</v>
      </c>
      <c r="AW164" s="199">
        <v>3458</v>
      </c>
      <c r="AX164" s="199">
        <v>1913</v>
      </c>
      <c r="AY164" s="199">
        <v>29858</v>
      </c>
      <c r="AZ164" s="199">
        <v>43339</v>
      </c>
      <c r="BA164" s="181">
        <v>153</v>
      </c>
      <c r="BB164" s="511">
        <v>126</v>
      </c>
      <c r="BC164" s="181">
        <v>484</v>
      </c>
      <c r="BD164" s="181">
        <v>8</v>
      </c>
      <c r="BE164" s="199">
        <v>7962</v>
      </c>
      <c r="BG164" s="183">
        <v>5311</v>
      </c>
      <c r="BH164" s="199">
        <v>0</v>
      </c>
      <c r="BI164" s="183">
        <v>0</v>
      </c>
      <c r="BJ164" s="199">
        <v>2651</v>
      </c>
      <c r="BK164" s="199">
        <v>877</v>
      </c>
      <c r="BL164" s="199">
        <v>-1000</v>
      </c>
      <c r="BM164" s="183">
        <v>-36</v>
      </c>
      <c r="BN164" s="199">
        <v>2492</v>
      </c>
      <c r="BP164" s="199">
        <v>14823</v>
      </c>
      <c r="BS164" s="211"/>
      <c r="BV164" s="514">
        <v>3278</v>
      </c>
      <c r="BX164" s="181">
        <v>14524</v>
      </c>
      <c r="BZ164" s="349"/>
      <c r="CB164" s="340"/>
      <c r="CC164" s="488">
        <v>20.5</v>
      </c>
      <c r="CD164" s="378"/>
      <c r="CE164" s="378"/>
      <c r="CF164" s="195"/>
      <c r="CG164" s="349"/>
      <c r="CI164" s="181">
        <v>24210</v>
      </c>
      <c r="CJ164" s="183">
        <v>0</v>
      </c>
      <c r="CK164" s="421">
        <v>41438.265551625293</v>
      </c>
      <c r="CL164" s="494">
        <v>43207.314641319295</v>
      </c>
      <c r="CM164" s="483">
        <v>14274.775143541116</v>
      </c>
      <c r="CN164" s="483">
        <v>14093.701875736597</v>
      </c>
      <c r="CO164" s="483">
        <v>13697.253775958912</v>
      </c>
      <c r="CP164" s="433">
        <f t="shared" si="2"/>
        <v>-12186.265551625293</v>
      </c>
      <c r="CQ164" s="212"/>
      <c r="CR164" s="212">
        <v>1297</v>
      </c>
      <c r="CS164" s="212">
        <v>-7085</v>
      </c>
      <c r="CT164" s="183">
        <v>111</v>
      </c>
      <c r="CU164" s="183">
        <v>3837</v>
      </c>
      <c r="CV164" s="485">
        <v>51</v>
      </c>
      <c r="CX164" s="422"/>
      <c r="CY164" s="475"/>
      <c r="CZ164" s="450"/>
      <c r="DA164" s="394"/>
      <c r="DB164" s="394"/>
      <c r="DC164" s="347"/>
      <c r="DD164" s="394"/>
      <c r="DE164" s="394"/>
      <c r="DF164" s="394"/>
      <c r="DG164" s="394"/>
      <c r="DH164" s="394"/>
    </row>
    <row r="165" spans="1:112" x14ac:dyDescent="0.25">
      <c r="A165" s="179">
        <v>543</v>
      </c>
      <c r="B165" s="181" t="s">
        <v>195</v>
      </c>
      <c r="C165" s="373">
        <v>42993</v>
      </c>
      <c r="D165" s="360">
        <v>19.5</v>
      </c>
      <c r="E165" s="213"/>
      <c r="G165" s="363">
        <v>31579</v>
      </c>
      <c r="H165" s="363">
        <v>252638</v>
      </c>
      <c r="I165" s="349"/>
      <c r="J165" s="363">
        <v>171561</v>
      </c>
      <c r="K165" s="363">
        <v>8612</v>
      </c>
      <c r="L165" s="363">
        <v>9555</v>
      </c>
      <c r="M165" s="363">
        <v>189728</v>
      </c>
      <c r="N165" s="363">
        <v>32294</v>
      </c>
      <c r="O165" s="363">
        <v>1</v>
      </c>
      <c r="P165" s="363">
        <v>577</v>
      </c>
      <c r="Q165" s="363">
        <v>2505</v>
      </c>
      <c r="R165" s="363">
        <v>609</v>
      </c>
      <c r="S165" s="363">
        <v>2283</v>
      </c>
      <c r="U165" s="363">
        <v>18033</v>
      </c>
      <c r="V165" s="363">
        <v>0</v>
      </c>
      <c r="W165" s="363">
        <v>0</v>
      </c>
      <c r="X165" s="363">
        <v>-15750</v>
      </c>
      <c r="Y165" s="363">
        <v>12</v>
      </c>
      <c r="Z165" s="363">
        <v>0</v>
      </c>
      <c r="AA165" s="363">
        <v>0</v>
      </c>
      <c r="AB165" s="363">
        <v>-15738</v>
      </c>
      <c r="AD165" s="363">
        <v>37569</v>
      </c>
      <c r="AG165" s="363">
        <v>-30808</v>
      </c>
      <c r="AH165" s="349"/>
      <c r="AJ165" s="363">
        <v>26053</v>
      </c>
      <c r="AL165" s="363">
        <v>199528</v>
      </c>
      <c r="AN165" s="349"/>
      <c r="AO165" s="454">
        <v>43663</v>
      </c>
      <c r="AP165" s="478">
        <v>19.75</v>
      </c>
      <c r="AQ165" s="213"/>
      <c r="AS165" s="509">
        <v>32445</v>
      </c>
      <c r="AT165" s="349">
        <v>257642</v>
      </c>
      <c r="AU165" s="480">
        <v>-225197</v>
      </c>
      <c r="AV165" s="199">
        <v>180605</v>
      </c>
      <c r="AW165" s="199">
        <v>9254</v>
      </c>
      <c r="AX165" s="199">
        <v>10772</v>
      </c>
      <c r="AY165" s="199">
        <v>200631</v>
      </c>
      <c r="AZ165" s="199">
        <v>51698</v>
      </c>
      <c r="BA165" s="181">
        <v>0</v>
      </c>
      <c r="BB165" s="511">
        <v>571</v>
      </c>
      <c r="BC165" s="181">
        <v>2483</v>
      </c>
      <c r="BD165" s="181">
        <v>620</v>
      </c>
      <c r="BE165" s="199">
        <v>28424</v>
      </c>
      <c r="BG165" s="183">
        <v>20710</v>
      </c>
      <c r="BH165" s="183">
        <v>0</v>
      </c>
      <c r="BI165" s="183">
        <v>0</v>
      </c>
      <c r="BJ165" s="199">
        <v>7714</v>
      </c>
      <c r="BK165" s="199">
        <v>12</v>
      </c>
      <c r="BL165" s="183">
        <v>-6000</v>
      </c>
      <c r="BM165" s="183">
        <v>0</v>
      </c>
      <c r="BN165" s="199">
        <v>1726</v>
      </c>
      <c r="BP165" s="199">
        <v>40073</v>
      </c>
      <c r="BS165" s="211"/>
      <c r="BV165" s="514">
        <v>28053</v>
      </c>
      <c r="BX165" s="181">
        <v>206720</v>
      </c>
      <c r="BZ165" s="349"/>
      <c r="CB165" s="340"/>
      <c r="CC165" s="488">
        <v>19.75</v>
      </c>
      <c r="CD165" s="378"/>
      <c r="CE165" s="378"/>
      <c r="CF165" s="195"/>
      <c r="CG165" s="349"/>
      <c r="CI165" s="181">
        <v>27250</v>
      </c>
      <c r="CJ165" s="183">
        <v>0</v>
      </c>
      <c r="CK165" s="421">
        <v>41564.551727399295</v>
      </c>
      <c r="CL165" s="494">
        <v>43887.224015979948</v>
      </c>
      <c r="CM165" s="483">
        <v>23658.465574255322</v>
      </c>
      <c r="CN165" s="483">
        <v>23958.034187235455</v>
      </c>
      <c r="CO165" s="483">
        <v>25578.872144076362</v>
      </c>
      <c r="CP165" s="433">
        <f t="shared" si="2"/>
        <v>-9270.5517273992955</v>
      </c>
      <c r="CQ165" s="212"/>
      <c r="CR165" s="212">
        <v>-1468</v>
      </c>
      <c r="CS165" s="212">
        <v>-35856</v>
      </c>
      <c r="CT165" s="183">
        <v>858</v>
      </c>
      <c r="CU165" s="183">
        <v>1965</v>
      </c>
      <c r="CV165" s="485">
        <v>-29</v>
      </c>
      <c r="CX165" s="422"/>
      <c r="CY165" s="475"/>
      <c r="CZ165" s="450"/>
      <c r="DA165" s="394"/>
      <c r="DB165" s="394"/>
      <c r="DC165" s="347"/>
      <c r="DD165" s="394"/>
      <c r="DE165" s="394"/>
      <c r="DF165" s="394"/>
      <c r="DG165" s="394"/>
      <c r="DH165" s="394"/>
    </row>
    <row r="166" spans="1:112" x14ac:dyDescent="0.25">
      <c r="A166" s="179">
        <v>545</v>
      </c>
      <c r="B166" s="181" t="s">
        <v>196</v>
      </c>
      <c r="C166" s="373">
        <v>9479</v>
      </c>
      <c r="D166" s="360">
        <v>21</v>
      </c>
      <c r="E166" s="213"/>
      <c r="G166" s="363">
        <v>9354</v>
      </c>
      <c r="H166" s="363">
        <v>67358</v>
      </c>
      <c r="I166" s="349"/>
      <c r="J166" s="363">
        <v>26072</v>
      </c>
      <c r="K166" s="363">
        <v>2644</v>
      </c>
      <c r="L166" s="363">
        <v>3125</v>
      </c>
      <c r="M166" s="363">
        <v>31841</v>
      </c>
      <c r="N166" s="363">
        <v>30358</v>
      </c>
      <c r="O166" s="363">
        <v>169</v>
      </c>
      <c r="P166" s="363">
        <v>219</v>
      </c>
      <c r="Q166" s="363">
        <v>1048</v>
      </c>
      <c r="R166" s="363">
        <v>358</v>
      </c>
      <c r="S166" s="363">
        <v>4835</v>
      </c>
      <c r="U166" s="363">
        <v>3161</v>
      </c>
      <c r="V166" s="363">
        <v>0</v>
      </c>
      <c r="W166" s="363">
        <v>0</v>
      </c>
      <c r="X166" s="363">
        <v>1674</v>
      </c>
      <c r="Y166" s="363">
        <v>-2821</v>
      </c>
      <c r="Z166" s="363">
        <v>3000</v>
      </c>
      <c r="AA166" s="363">
        <v>0</v>
      </c>
      <c r="AB166" s="363">
        <v>1853</v>
      </c>
      <c r="AD166" s="363">
        <v>9903</v>
      </c>
      <c r="AG166" s="363">
        <v>-12630</v>
      </c>
      <c r="AH166" s="349"/>
      <c r="AJ166" s="363">
        <v>17891</v>
      </c>
      <c r="AL166" s="363">
        <v>32500</v>
      </c>
      <c r="AN166" s="349"/>
      <c r="AO166" s="454">
        <v>9558</v>
      </c>
      <c r="AP166" s="478">
        <v>21</v>
      </c>
      <c r="AQ166" s="213"/>
      <c r="AS166" s="509">
        <v>9505</v>
      </c>
      <c r="AT166" s="349">
        <v>68535</v>
      </c>
      <c r="AU166" s="480">
        <v>-59030</v>
      </c>
      <c r="AV166" s="199">
        <v>26814</v>
      </c>
      <c r="AW166" s="199">
        <v>2970</v>
      </c>
      <c r="AX166" s="199">
        <v>3183</v>
      </c>
      <c r="AY166" s="199">
        <v>32967</v>
      </c>
      <c r="AZ166" s="199">
        <v>34845</v>
      </c>
      <c r="BA166" s="181">
        <v>155</v>
      </c>
      <c r="BB166" s="511">
        <v>201</v>
      </c>
      <c r="BC166" s="181">
        <v>509</v>
      </c>
      <c r="BD166" s="181">
        <v>429</v>
      </c>
      <c r="BE166" s="199">
        <v>8816</v>
      </c>
      <c r="BG166" s="183">
        <v>3759</v>
      </c>
      <c r="BH166" s="183">
        <v>0</v>
      </c>
      <c r="BI166" s="183">
        <v>0</v>
      </c>
      <c r="BJ166" s="199">
        <v>5057</v>
      </c>
      <c r="BK166" s="199">
        <v>369</v>
      </c>
      <c r="BL166" s="183">
        <v>-4000</v>
      </c>
      <c r="BM166" s="183">
        <v>0</v>
      </c>
      <c r="BN166" s="199">
        <v>1426</v>
      </c>
      <c r="BP166" s="199">
        <v>11329</v>
      </c>
      <c r="BS166" s="211"/>
      <c r="BV166" s="514">
        <v>18869</v>
      </c>
      <c r="BX166" s="181">
        <v>35715</v>
      </c>
      <c r="BZ166" s="349"/>
      <c r="CB166" s="340"/>
      <c r="CC166" s="488">
        <v>21</v>
      </c>
      <c r="CD166" s="378"/>
      <c r="CE166" s="378"/>
      <c r="CF166" s="195"/>
      <c r="CG166" s="349"/>
      <c r="CI166" s="181">
        <v>21901</v>
      </c>
      <c r="CJ166" s="183">
        <v>0</v>
      </c>
      <c r="CK166" s="421">
        <v>34649.390303433109</v>
      </c>
      <c r="CL166" s="494">
        <v>36974.353025151817</v>
      </c>
      <c r="CM166" s="483">
        <v>16241.578348070896</v>
      </c>
      <c r="CN166" s="483">
        <v>16406.382469962362</v>
      </c>
      <c r="CO166" s="483">
        <v>16573.367200116445</v>
      </c>
      <c r="CP166" s="433">
        <f t="shared" si="2"/>
        <v>-4291.3903034331088</v>
      </c>
      <c r="CQ166" s="212"/>
      <c r="CR166" s="212">
        <v>-47</v>
      </c>
      <c r="CS166" s="212">
        <v>-11959</v>
      </c>
      <c r="CT166" s="183">
        <v>1283</v>
      </c>
      <c r="CU166" s="183">
        <v>82</v>
      </c>
      <c r="CV166" s="485">
        <v>34</v>
      </c>
      <c r="CX166" s="422"/>
      <c r="CY166" s="475"/>
      <c r="CZ166" s="450"/>
      <c r="DA166" s="394"/>
      <c r="DB166" s="394"/>
      <c r="DC166" s="347"/>
      <c r="DD166" s="394"/>
      <c r="DE166" s="394"/>
      <c r="DF166" s="394"/>
      <c r="DG166" s="394"/>
      <c r="DH166" s="394"/>
    </row>
    <row r="167" spans="1:112" x14ac:dyDescent="0.25">
      <c r="A167" s="352">
        <v>560</v>
      </c>
      <c r="B167" s="349" t="s">
        <v>197</v>
      </c>
      <c r="C167" s="373">
        <v>16003</v>
      </c>
      <c r="D167" s="478">
        <v>20.75</v>
      </c>
      <c r="E167" s="429"/>
      <c r="F167" s="428"/>
      <c r="G167" s="363">
        <v>9715</v>
      </c>
      <c r="H167" s="363">
        <v>98639</v>
      </c>
      <c r="I167" s="362"/>
      <c r="J167" s="363">
        <v>48664</v>
      </c>
      <c r="K167" s="363">
        <v>2343</v>
      </c>
      <c r="L167" s="363">
        <v>4648</v>
      </c>
      <c r="M167" s="363">
        <v>55655</v>
      </c>
      <c r="N167" s="363">
        <v>32422</v>
      </c>
      <c r="O167" s="363">
        <v>164</v>
      </c>
      <c r="P167" s="363">
        <v>392</v>
      </c>
      <c r="Q167" s="363">
        <v>2052</v>
      </c>
      <c r="R167" s="363">
        <v>2</v>
      </c>
      <c r="S167" s="363">
        <v>975</v>
      </c>
      <c r="T167" s="428"/>
      <c r="U167" s="363">
        <v>4654</v>
      </c>
      <c r="V167" s="363">
        <v>0</v>
      </c>
      <c r="W167" s="363">
        <v>0</v>
      </c>
      <c r="X167" s="363">
        <v>-3679</v>
      </c>
      <c r="Y167" s="363">
        <v>26</v>
      </c>
      <c r="Z167" s="363">
        <v>0</v>
      </c>
      <c r="AA167" s="363">
        <v>0</v>
      </c>
      <c r="AB167" s="363">
        <v>-3653</v>
      </c>
      <c r="AC167" s="428"/>
      <c r="AD167" s="363">
        <v>7176</v>
      </c>
      <c r="AE167" s="428"/>
      <c r="AF167" s="428"/>
      <c r="AG167" s="363">
        <v>-6106</v>
      </c>
      <c r="AH167" s="349"/>
      <c r="AI167" s="428"/>
      <c r="AJ167" s="363">
        <v>3407</v>
      </c>
      <c r="AK167" s="428"/>
      <c r="AL167" s="363">
        <v>49497</v>
      </c>
      <c r="AM167" s="428"/>
      <c r="AN167" s="349"/>
      <c r="AO167" s="508">
        <v>15882</v>
      </c>
      <c r="AP167" s="478">
        <v>20.75</v>
      </c>
      <c r="AQ167" s="429"/>
      <c r="AR167" s="428"/>
      <c r="AS167" s="509">
        <v>9437</v>
      </c>
      <c r="AT167" s="349">
        <v>99088</v>
      </c>
      <c r="AU167" s="481">
        <v>-89651</v>
      </c>
      <c r="AV167" s="510">
        <v>53137</v>
      </c>
      <c r="AW167" s="510">
        <v>2686</v>
      </c>
      <c r="AX167" s="510">
        <v>4120</v>
      </c>
      <c r="AY167" s="510">
        <v>59943</v>
      </c>
      <c r="AZ167" s="510">
        <v>39276</v>
      </c>
      <c r="BA167" s="510">
        <v>152</v>
      </c>
      <c r="BB167" s="510">
        <v>375</v>
      </c>
      <c r="BC167" s="510">
        <v>3101</v>
      </c>
      <c r="BD167" s="510">
        <v>3</v>
      </c>
      <c r="BE167" s="510">
        <v>12443</v>
      </c>
      <c r="BF167" s="428"/>
      <c r="BG167" s="510">
        <v>6143</v>
      </c>
      <c r="BH167" s="510">
        <v>0</v>
      </c>
      <c r="BI167" s="510">
        <v>0</v>
      </c>
      <c r="BJ167" s="510">
        <v>6300</v>
      </c>
      <c r="BK167" s="510">
        <v>51</v>
      </c>
      <c r="BL167" s="510">
        <v>0</v>
      </c>
      <c r="BM167" s="510">
        <v>-6000</v>
      </c>
      <c r="BN167" s="510">
        <v>351</v>
      </c>
      <c r="BO167" s="428"/>
      <c r="BP167" s="510">
        <v>7527</v>
      </c>
      <c r="BQ167" s="428"/>
      <c r="BR167" s="428"/>
      <c r="BS167" s="428"/>
      <c r="BT167" s="428"/>
      <c r="BU167" s="428"/>
      <c r="BV167" s="510">
        <v>11043</v>
      </c>
      <c r="BW167" s="428"/>
      <c r="BX167" s="510">
        <v>58911</v>
      </c>
      <c r="BY167" s="428"/>
      <c r="BZ167" s="349"/>
      <c r="CA167" s="428"/>
      <c r="CB167" s="430"/>
      <c r="CC167" s="431">
        <v>20.75</v>
      </c>
      <c r="CD167" s="378"/>
      <c r="CE167" s="431"/>
      <c r="CF167" s="428"/>
      <c r="CG167" s="349"/>
      <c r="CH167" s="428"/>
      <c r="CI167" s="428">
        <v>31324</v>
      </c>
      <c r="CJ167" s="428">
        <v>0</v>
      </c>
      <c r="CK167" s="492">
        <v>36154.59472745932</v>
      </c>
      <c r="CL167" s="495">
        <v>37050.790396000215</v>
      </c>
      <c r="CM167" s="481">
        <v>11427.629943378121</v>
      </c>
      <c r="CN167" s="475">
        <v>10561.141734893112</v>
      </c>
      <c r="CO167" s="475">
        <v>10048.502693215642</v>
      </c>
      <c r="CP167" s="433">
        <f t="shared" si="2"/>
        <v>-3732.59472745932</v>
      </c>
      <c r="CQ167" s="428"/>
      <c r="CR167" s="481">
        <v>-236</v>
      </c>
      <c r="CS167" s="481">
        <v>-14540</v>
      </c>
      <c r="CT167" s="510">
        <v>90</v>
      </c>
      <c r="CU167" s="510">
        <v>478</v>
      </c>
      <c r="CV167" s="485">
        <v>904</v>
      </c>
      <c r="CW167" s="357"/>
      <c r="CX167" s="347"/>
      <c r="CY167" s="475"/>
      <c r="CZ167" s="394"/>
      <c r="DA167" s="394"/>
      <c r="DB167" s="394"/>
      <c r="DC167" s="347"/>
      <c r="DD167" s="394"/>
      <c r="DE167" s="394"/>
      <c r="DF167" s="394"/>
      <c r="DG167" s="394"/>
      <c r="DH167" s="394"/>
    </row>
    <row r="168" spans="1:112" x14ac:dyDescent="0.25">
      <c r="A168" s="179">
        <v>561</v>
      </c>
      <c r="B168" s="181" t="s">
        <v>198</v>
      </c>
      <c r="C168" s="373">
        <v>1329</v>
      </c>
      <c r="D168" s="360">
        <v>21</v>
      </c>
      <c r="E168" s="213"/>
      <c r="G168" s="363">
        <v>1302</v>
      </c>
      <c r="H168" s="363">
        <v>9574</v>
      </c>
      <c r="I168" s="349"/>
      <c r="J168" s="363">
        <v>3850</v>
      </c>
      <c r="K168" s="363">
        <v>432</v>
      </c>
      <c r="L168" s="363">
        <v>402</v>
      </c>
      <c r="M168" s="363">
        <v>4684</v>
      </c>
      <c r="N168" s="363">
        <v>4078</v>
      </c>
      <c r="O168" s="363">
        <v>1</v>
      </c>
      <c r="P168" s="363">
        <v>44</v>
      </c>
      <c r="Q168" s="363">
        <v>1</v>
      </c>
      <c r="R168" s="363">
        <v>1</v>
      </c>
      <c r="S168" s="363">
        <v>447</v>
      </c>
      <c r="U168" s="363">
        <v>443</v>
      </c>
      <c r="V168" s="363">
        <v>0</v>
      </c>
      <c r="W168" s="363">
        <v>0</v>
      </c>
      <c r="X168" s="363">
        <v>4</v>
      </c>
      <c r="Y168" s="363">
        <v>15</v>
      </c>
      <c r="Z168" s="363">
        <v>0</v>
      </c>
      <c r="AA168" s="363">
        <v>0</v>
      </c>
      <c r="AB168" s="363">
        <v>19</v>
      </c>
      <c r="AD168" s="363">
        <v>-618</v>
      </c>
      <c r="AG168" s="363">
        <v>-165</v>
      </c>
      <c r="AH168" s="349"/>
      <c r="AJ168" s="363">
        <v>3</v>
      </c>
      <c r="AL168" s="363">
        <v>4374</v>
      </c>
      <c r="AN168" s="349"/>
      <c r="AO168" s="454">
        <v>1334</v>
      </c>
      <c r="AP168" s="478">
        <v>21</v>
      </c>
      <c r="AQ168" s="213"/>
      <c r="AS168" s="509">
        <v>1331</v>
      </c>
      <c r="AT168" s="349">
        <v>9471</v>
      </c>
      <c r="AU168" s="480">
        <v>-8140</v>
      </c>
      <c r="AV168" s="199">
        <v>3949</v>
      </c>
      <c r="AW168" s="199">
        <v>519</v>
      </c>
      <c r="AX168" s="199">
        <v>381</v>
      </c>
      <c r="AY168" s="199">
        <v>4849</v>
      </c>
      <c r="AZ168" s="199">
        <v>4486</v>
      </c>
      <c r="BA168" s="181">
        <v>4</v>
      </c>
      <c r="BB168" s="511">
        <v>46</v>
      </c>
      <c r="BC168" s="181">
        <v>1</v>
      </c>
      <c r="BD168" s="181">
        <v>1</v>
      </c>
      <c r="BE168" s="199">
        <v>1153</v>
      </c>
      <c r="BG168" s="183">
        <v>420</v>
      </c>
      <c r="BH168" s="183">
        <v>0</v>
      </c>
      <c r="BI168" s="183">
        <v>0</v>
      </c>
      <c r="BJ168" s="199">
        <v>733</v>
      </c>
      <c r="BK168" s="183">
        <v>15</v>
      </c>
      <c r="BL168" s="183">
        <v>0</v>
      </c>
      <c r="BM168" s="183">
        <v>0</v>
      </c>
      <c r="BN168" s="199">
        <v>748</v>
      </c>
      <c r="BP168" s="199">
        <v>130</v>
      </c>
      <c r="BS168" s="211"/>
      <c r="BV168" s="514">
        <v>101</v>
      </c>
      <c r="BX168" s="181">
        <v>3639</v>
      </c>
      <c r="BZ168" s="349"/>
      <c r="CB168" s="340"/>
      <c r="CC168" s="488">
        <v>21</v>
      </c>
      <c r="CD168" s="378"/>
      <c r="CE168" s="378"/>
      <c r="CF168" s="195"/>
      <c r="CG168" s="349"/>
      <c r="CI168" s="181">
        <v>2793</v>
      </c>
      <c r="CJ168" s="183">
        <v>0</v>
      </c>
      <c r="CK168" s="421">
        <v>4006.8355022643054</v>
      </c>
      <c r="CL168" s="494">
        <v>3971.5412782903932</v>
      </c>
      <c r="CM168" s="483">
        <v>1009.614343038704</v>
      </c>
      <c r="CN168" s="483">
        <v>990.11205091895499</v>
      </c>
      <c r="CO168" s="483">
        <v>1031.2415943487765</v>
      </c>
      <c r="CP168" s="433">
        <f t="shared" si="2"/>
        <v>71.164497735694567</v>
      </c>
      <c r="CQ168" s="212"/>
      <c r="CR168" s="212">
        <v>0</v>
      </c>
      <c r="CS168" s="212">
        <v>-450</v>
      </c>
      <c r="CT168" s="183">
        <v>0</v>
      </c>
      <c r="CU168" s="183">
        <v>19</v>
      </c>
      <c r="CV168" s="485">
        <v>0</v>
      </c>
      <c r="CX168" s="422"/>
      <c r="CY168" s="475"/>
      <c r="CZ168" s="450"/>
      <c r="DA168" s="394"/>
      <c r="DB168" s="394"/>
      <c r="DC168" s="347"/>
      <c r="DD168" s="394"/>
      <c r="DE168" s="394"/>
      <c r="DF168" s="394"/>
      <c r="DG168" s="394"/>
      <c r="DH168" s="394"/>
    </row>
    <row r="169" spans="1:112" x14ac:dyDescent="0.25">
      <c r="A169" s="179">
        <v>562</v>
      </c>
      <c r="B169" s="181" t="s">
        <v>199</v>
      </c>
      <c r="C169" s="373">
        <v>9158</v>
      </c>
      <c r="D169" s="360">
        <v>22</v>
      </c>
      <c r="E169" s="213"/>
      <c r="G169" s="363">
        <v>7331</v>
      </c>
      <c r="H169" s="363">
        <v>62667</v>
      </c>
      <c r="I169" s="349"/>
      <c r="J169" s="363">
        <v>28796</v>
      </c>
      <c r="K169" s="363">
        <v>1959</v>
      </c>
      <c r="L169" s="363">
        <v>2973</v>
      </c>
      <c r="M169" s="363">
        <v>33728</v>
      </c>
      <c r="N169" s="363">
        <v>22208</v>
      </c>
      <c r="O169" s="363">
        <v>64</v>
      </c>
      <c r="P169" s="363">
        <v>242</v>
      </c>
      <c r="Q169" s="363">
        <v>307</v>
      </c>
      <c r="R169" s="363">
        <v>0</v>
      </c>
      <c r="S169" s="363">
        <v>729</v>
      </c>
      <c r="U169" s="363">
        <v>3140</v>
      </c>
      <c r="V169" s="363">
        <v>0</v>
      </c>
      <c r="W169" s="363">
        <v>0</v>
      </c>
      <c r="X169" s="363">
        <v>-2411</v>
      </c>
      <c r="Y169" s="363">
        <v>186</v>
      </c>
      <c r="Z169" s="363">
        <v>0</v>
      </c>
      <c r="AA169" s="363">
        <v>0</v>
      </c>
      <c r="AB169" s="363">
        <v>-2225</v>
      </c>
      <c r="AD169" s="363">
        <v>3999</v>
      </c>
      <c r="AG169" s="363">
        <v>-2781</v>
      </c>
      <c r="AH169" s="349"/>
      <c r="AJ169" s="363">
        <v>2638</v>
      </c>
      <c r="AL169" s="363">
        <v>22863</v>
      </c>
      <c r="AN169" s="349"/>
      <c r="AO169" s="454">
        <v>9008</v>
      </c>
      <c r="AP169" s="478">
        <v>22</v>
      </c>
      <c r="AQ169" s="213"/>
      <c r="AS169" s="509">
        <v>6916</v>
      </c>
      <c r="AT169" s="349">
        <v>64698</v>
      </c>
      <c r="AU169" s="480">
        <v>-57782</v>
      </c>
      <c r="AV169" s="199">
        <v>30497</v>
      </c>
      <c r="AW169" s="199">
        <v>2087</v>
      </c>
      <c r="AX169" s="199">
        <v>2775</v>
      </c>
      <c r="AY169" s="199">
        <v>35359</v>
      </c>
      <c r="AZ169" s="199">
        <v>27304</v>
      </c>
      <c r="BA169" s="181">
        <v>49</v>
      </c>
      <c r="BB169" s="511">
        <v>215</v>
      </c>
      <c r="BC169" s="181">
        <v>383</v>
      </c>
      <c r="BD169" s="181">
        <v>1</v>
      </c>
      <c r="BE169" s="199">
        <v>5097</v>
      </c>
      <c r="BG169" s="183">
        <v>2967</v>
      </c>
      <c r="BH169" s="183">
        <v>0</v>
      </c>
      <c r="BI169" s="183">
        <v>0</v>
      </c>
      <c r="BJ169" s="199">
        <v>2130</v>
      </c>
      <c r="BK169" s="199">
        <v>149</v>
      </c>
      <c r="BL169" s="183">
        <v>0</v>
      </c>
      <c r="BM169" s="183">
        <v>0</v>
      </c>
      <c r="BN169" s="199">
        <v>2279</v>
      </c>
      <c r="BP169" s="199">
        <v>6278</v>
      </c>
      <c r="BS169" s="211"/>
      <c r="BV169" s="514">
        <v>6174</v>
      </c>
      <c r="BX169" s="181">
        <v>20955</v>
      </c>
      <c r="BZ169" s="349"/>
      <c r="CB169" s="340"/>
      <c r="CC169" s="488">
        <v>22</v>
      </c>
      <c r="CD169" s="378"/>
      <c r="CE169" s="378"/>
      <c r="CF169" s="195"/>
      <c r="CG169" s="349"/>
      <c r="CI169" s="181">
        <v>20650</v>
      </c>
      <c r="CJ169" s="183">
        <v>0</v>
      </c>
      <c r="CK169" s="421">
        <v>25277.473601517035</v>
      </c>
      <c r="CL169" s="494">
        <v>26454.561108915299</v>
      </c>
      <c r="CM169" s="483">
        <v>5697.119232261397</v>
      </c>
      <c r="CN169" s="483">
        <v>5175.511381580196</v>
      </c>
      <c r="CO169" s="483">
        <v>4809.4583193268099</v>
      </c>
      <c r="CP169" s="433">
        <f t="shared" si="2"/>
        <v>-3069.4736015170347</v>
      </c>
      <c r="CQ169" s="212"/>
      <c r="CR169" s="212">
        <v>9</v>
      </c>
      <c r="CS169" s="212">
        <v>-1921</v>
      </c>
      <c r="CT169" s="183">
        <v>0</v>
      </c>
      <c r="CU169" s="183">
        <v>27</v>
      </c>
      <c r="CV169" s="485">
        <v>50</v>
      </c>
      <c r="CX169" s="422"/>
      <c r="CY169" s="475"/>
      <c r="CZ169" s="450"/>
      <c r="DA169" s="394"/>
      <c r="DB169" s="394"/>
      <c r="DC169" s="347"/>
      <c r="DD169" s="394"/>
      <c r="DE169" s="394"/>
      <c r="DF169" s="394"/>
      <c r="DG169" s="394"/>
      <c r="DH169" s="394"/>
    </row>
    <row r="170" spans="1:112" x14ac:dyDescent="0.25">
      <c r="A170" s="179">
        <v>563</v>
      </c>
      <c r="B170" s="181" t="s">
        <v>24</v>
      </c>
      <c r="C170" s="373">
        <v>7288</v>
      </c>
      <c r="D170" s="360">
        <v>22</v>
      </c>
      <c r="E170" s="213"/>
      <c r="G170" s="363">
        <v>7878</v>
      </c>
      <c r="H170" s="363">
        <v>58089</v>
      </c>
      <c r="I170" s="349"/>
      <c r="J170" s="363">
        <v>21940</v>
      </c>
      <c r="K170" s="363">
        <v>1415</v>
      </c>
      <c r="L170" s="363">
        <v>2143</v>
      </c>
      <c r="M170" s="363">
        <v>25498</v>
      </c>
      <c r="N170" s="363">
        <v>24000</v>
      </c>
      <c r="O170" s="363">
        <v>8</v>
      </c>
      <c r="P170" s="363">
        <v>58</v>
      </c>
      <c r="Q170" s="363">
        <v>1882</v>
      </c>
      <c r="R170" s="363">
        <v>222</v>
      </c>
      <c r="S170" s="363">
        <v>897</v>
      </c>
      <c r="U170" s="363">
        <v>2370</v>
      </c>
      <c r="V170" s="363">
        <v>51</v>
      </c>
      <c r="W170" s="363">
        <v>0</v>
      </c>
      <c r="X170" s="363">
        <v>-1422</v>
      </c>
      <c r="Y170" s="363">
        <v>55</v>
      </c>
      <c r="Z170" s="363">
        <v>0</v>
      </c>
      <c r="AA170" s="363">
        <v>0</v>
      </c>
      <c r="AB170" s="363">
        <v>-1367</v>
      </c>
      <c r="AD170" s="363">
        <v>1895</v>
      </c>
      <c r="AG170" s="363">
        <v>-2350</v>
      </c>
      <c r="AH170" s="349"/>
      <c r="AJ170" s="363">
        <v>17278</v>
      </c>
      <c r="AL170" s="363">
        <v>34701</v>
      </c>
      <c r="AN170" s="349"/>
      <c r="AO170" s="454">
        <v>7155</v>
      </c>
      <c r="AP170" s="478">
        <v>22</v>
      </c>
      <c r="AQ170" s="213"/>
      <c r="AS170" s="509">
        <v>7928</v>
      </c>
      <c r="AT170" s="349">
        <v>57946</v>
      </c>
      <c r="AU170" s="480">
        <v>-50018</v>
      </c>
      <c r="AV170" s="199">
        <v>22532</v>
      </c>
      <c r="AW170" s="199">
        <v>1767</v>
      </c>
      <c r="AX170" s="199">
        <v>1932</v>
      </c>
      <c r="AY170" s="199">
        <v>26231</v>
      </c>
      <c r="AZ170" s="199">
        <v>28343</v>
      </c>
      <c r="BA170" s="181">
        <v>4</v>
      </c>
      <c r="BB170" s="511">
        <v>32</v>
      </c>
      <c r="BC170" s="181">
        <v>552</v>
      </c>
      <c r="BD170" s="181">
        <v>363</v>
      </c>
      <c r="BE170" s="199">
        <v>4717</v>
      </c>
      <c r="BG170" s="183">
        <v>2368</v>
      </c>
      <c r="BH170" s="183">
        <v>0</v>
      </c>
      <c r="BI170" s="183">
        <v>0</v>
      </c>
      <c r="BJ170" s="199">
        <v>2349</v>
      </c>
      <c r="BK170" s="199">
        <v>55</v>
      </c>
      <c r="BL170" s="183">
        <v>-490</v>
      </c>
      <c r="BM170" s="183">
        <v>0</v>
      </c>
      <c r="BN170" s="199">
        <v>1914</v>
      </c>
      <c r="BP170" s="199">
        <v>3809</v>
      </c>
      <c r="BS170" s="211"/>
      <c r="BV170" s="514">
        <v>17889</v>
      </c>
      <c r="BX170" s="181">
        <v>32966</v>
      </c>
      <c r="BZ170" s="349"/>
      <c r="CB170" s="340"/>
      <c r="CC170" s="488">
        <v>22</v>
      </c>
      <c r="CD170" s="378"/>
      <c r="CE170" s="378"/>
      <c r="CF170" s="195"/>
      <c r="CG170" s="349"/>
      <c r="CI170" s="181">
        <v>19497</v>
      </c>
      <c r="CJ170" s="183">
        <v>0</v>
      </c>
      <c r="CK170" s="421">
        <v>27391.953842298313</v>
      </c>
      <c r="CL170" s="494">
        <v>28802.477906787393</v>
      </c>
      <c r="CM170" s="483">
        <v>7621.5283700160508</v>
      </c>
      <c r="CN170" s="483">
        <v>7656.8721835991046</v>
      </c>
      <c r="CO170" s="483">
        <v>7362.3839085794361</v>
      </c>
      <c r="CP170" s="433">
        <f t="shared" si="2"/>
        <v>-3391.9538422983132</v>
      </c>
      <c r="CQ170" s="212"/>
      <c r="CR170" s="212">
        <v>-14</v>
      </c>
      <c r="CS170" s="212">
        <v>-2610</v>
      </c>
      <c r="CT170" s="183">
        <v>136</v>
      </c>
      <c r="CU170" s="183">
        <v>33</v>
      </c>
      <c r="CV170" s="485">
        <v>0</v>
      </c>
      <c r="CX170" s="422"/>
      <c r="CY170" s="475"/>
      <c r="CZ170" s="450"/>
      <c r="DA170" s="394"/>
      <c r="DB170" s="394"/>
      <c r="DC170" s="347"/>
      <c r="DD170" s="394"/>
      <c r="DE170" s="394"/>
      <c r="DF170" s="394"/>
      <c r="DG170" s="394"/>
      <c r="DH170" s="394"/>
    </row>
    <row r="171" spans="1:112" x14ac:dyDescent="0.25">
      <c r="A171" s="179">
        <v>564</v>
      </c>
      <c r="B171" s="181" t="s">
        <v>200</v>
      </c>
      <c r="C171" s="373">
        <v>205489</v>
      </c>
      <c r="D171" s="360">
        <v>20</v>
      </c>
      <c r="E171" s="213"/>
      <c r="G171" s="363">
        <v>274737</v>
      </c>
      <c r="H171" s="363">
        <v>1323844</v>
      </c>
      <c r="I171" s="349"/>
      <c r="J171" s="363">
        <v>694362</v>
      </c>
      <c r="K171" s="363">
        <v>45324</v>
      </c>
      <c r="L171" s="363">
        <v>57209</v>
      </c>
      <c r="M171" s="363">
        <v>796895</v>
      </c>
      <c r="N171" s="363">
        <v>279065</v>
      </c>
      <c r="O171" s="363">
        <v>10457</v>
      </c>
      <c r="P171" s="363">
        <v>10488</v>
      </c>
      <c r="Q171" s="363">
        <v>16821</v>
      </c>
      <c r="R171" s="363">
        <v>757</v>
      </c>
      <c r="S171" s="363">
        <v>42886</v>
      </c>
      <c r="U171" s="363">
        <v>87249</v>
      </c>
      <c r="V171" s="363">
        <v>0</v>
      </c>
      <c r="W171" s="363">
        <v>0</v>
      </c>
      <c r="X171" s="363">
        <v>-44363</v>
      </c>
      <c r="Y171" s="363">
        <v>3895</v>
      </c>
      <c r="Z171" s="363">
        <v>-5000</v>
      </c>
      <c r="AA171" s="363">
        <v>0</v>
      </c>
      <c r="AB171" s="363">
        <v>-45468</v>
      </c>
      <c r="AD171" s="363">
        <v>791857</v>
      </c>
      <c r="AG171" s="363">
        <v>-103267</v>
      </c>
      <c r="AH171" s="349"/>
      <c r="AJ171" s="363">
        <v>149819</v>
      </c>
      <c r="AL171" s="363">
        <v>701165</v>
      </c>
      <c r="AN171" s="349"/>
      <c r="AO171" s="454">
        <v>207327</v>
      </c>
      <c r="AP171" s="478">
        <v>20</v>
      </c>
      <c r="AQ171" s="213"/>
      <c r="AS171" s="509">
        <v>258955</v>
      </c>
      <c r="AT171" s="349">
        <v>1346597</v>
      </c>
      <c r="AU171" s="480">
        <v>-1087642</v>
      </c>
      <c r="AV171" s="199">
        <v>724511</v>
      </c>
      <c r="AW171" s="199">
        <v>45547</v>
      </c>
      <c r="AX171" s="199">
        <v>54077</v>
      </c>
      <c r="AY171" s="199">
        <v>824135</v>
      </c>
      <c r="AZ171" s="199">
        <v>354280</v>
      </c>
      <c r="BA171" s="181">
        <v>10441</v>
      </c>
      <c r="BB171" s="511">
        <v>10688</v>
      </c>
      <c r="BC171" s="181">
        <v>13181</v>
      </c>
      <c r="BD171" s="181">
        <v>7309</v>
      </c>
      <c r="BE171" s="199">
        <v>96398</v>
      </c>
      <c r="BG171" s="183">
        <v>82956</v>
      </c>
      <c r="BH171" s="183">
        <v>0</v>
      </c>
      <c r="BI171" s="183">
        <v>0</v>
      </c>
      <c r="BJ171" s="199">
        <v>13442</v>
      </c>
      <c r="BK171" s="183">
        <v>3757</v>
      </c>
      <c r="BL171" s="183">
        <v>-4500</v>
      </c>
      <c r="BM171" s="199">
        <v>0</v>
      </c>
      <c r="BN171" s="199">
        <v>12699</v>
      </c>
      <c r="BP171" s="199">
        <v>804556</v>
      </c>
      <c r="BS171" s="211"/>
      <c r="BV171" s="514">
        <v>209352</v>
      </c>
      <c r="BX171" s="181">
        <v>750777</v>
      </c>
      <c r="BZ171" s="349"/>
      <c r="CB171" s="340"/>
      <c r="CC171" s="488">
        <v>20</v>
      </c>
      <c r="CD171" s="378"/>
      <c r="CE171" s="378"/>
      <c r="CF171" s="195"/>
      <c r="CG171" s="349"/>
      <c r="CI171" s="181">
        <v>134043</v>
      </c>
      <c r="CJ171" s="183">
        <v>0</v>
      </c>
      <c r="CK171" s="421">
        <v>321775.2033006202</v>
      </c>
      <c r="CL171" s="494">
        <v>348403.78568386985</v>
      </c>
      <c r="CM171" s="483">
        <v>84391.126003750585</v>
      </c>
      <c r="CN171" s="483">
        <v>87647.867579726502</v>
      </c>
      <c r="CO171" s="483">
        <v>94406.983511884071</v>
      </c>
      <c r="CP171" s="433">
        <f t="shared" si="2"/>
        <v>-42710.203300620196</v>
      </c>
      <c r="CQ171" s="212"/>
      <c r="CR171" s="212">
        <v>-9363</v>
      </c>
      <c r="CS171" s="212">
        <v>-122952</v>
      </c>
      <c r="CT171" s="183">
        <v>675</v>
      </c>
      <c r="CU171" s="183">
        <v>18259</v>
      </c>
      <c r="CV171" s="485">
        <v>7858</v>
      </c>
      <c r="CX171" s="422"/>
      <c r="CY171" s="475"/>
      <c r="CZ171" s="450"/>
      <c r="DA171" s="394"/>
      <c r="DB171" s="394"/>
      <c r="DC171" s="347"/>
      <c r="DD171" s="394"/>
      <c r="DE171" s="394"/>
      <c r="DF171" s="394"/>
      <c r="DG171" s="394"/>
      <c r="DH171" s="394"/>
    </row>
    <row r="172" spans="1:112" x14ac:dyDescent="0.25">
      <c r="A172" s="179">
        <v>309</v>
      </c>
      <c r="B172" s="181" t="s">
        <v>201</v>
      </c>
      <c r="C172" s="373">
        <v>6688</v>
      </c>
      <c r="D172" s="360">
        <v>21.75</v>
      </c>
      <c r="E172" s="213"/>
      <c r="G172" s="363">
        <v>7016</v>
      </c>
      <c r="H172" s="363">
        <v>48509</v>
      </c>
      <c r="I172" s="349"/>
      <c r="J172" s="363">
        <v>18127</v>
      </c>
      <c r="K172" s="363">
        <v>1342</v>
      </c>
      <c r="L172" s="363">
        <v>1660</v>
      </c>
      <c r="M172" s="363">
        <v>21129</v>
      </c>
      <c r="N172" s="363">
        <v>20717</v>
      </c>
      <c r="O172" s="363">
        <v>37</v>
      </c>
      <c r="P172" s="363">
        <v>92</v>
      </c>
      <c r="Q172" s="363">
        <v>759</v>
      </c>
      <c r="R172" s="363">
        <v>3</v>
      </c>
      <c r="S172" s="363">
        <v>1054</v>
      </c>
      <c r="U172" s="363">
        <v>2223</v>
      </c>
      <c r="V172" s="363">
        <v>0</v>
      </c>
      <c r="W172" s="363">
        <v>431</v>
      </c>
      <c r="X172" s="363">
        <v>-1600</v>
      </c>
      <c r="Y172" s="363">
        <v>0</v>
      </c>
      <c r="Z172" s="363">
        <v>0</v>
      </c>
      <c r="AA172" s="363">
        <v>0</v>
      </c>
      <c r="AB172" s="363">
        <v>-1600</v>
      </c>
      <c r="AD172" s="363">
        <v>3289</v>
      </c>
      <c r="AG172" s="363">
        <v>-2897</v>
      </c>
      <c r="AH172" s="349"/>
      <c r="AJ172" s="363">
        <v>2956</v>
      </c>
      <c r="AL172" s="363">
        <v>15875</v>
      </c>
      <c r="AN172" s="349"/>
      <c r="AO172" s="454">
        <v>6552</v>
      </c>
      <c r="AP172" s="478">
        <v>21.75</v>
      </c>
      <c r="AQ172" s="213"/>
      <c r="AS172" s="509">
        <v>7016</v>
      </c>
      <c r="AT172" s="349">
        <v>50502</v>
      </c>
      <c r="AU172" s="480">
        <v>-43486</v>
      </c>
      <c r="AV172" s="199">
        <v>19234</v>
      </c>
      <c r="AW172" s="199">
        <v>1433</v>
      </c>
      <c r="AX172" s="199">
        <v>1543</v>
      </c>
      <c r="AY172" s="199">
        <v>22210</v>
      </c>
      <c r="AZ172" s="199">
        <v>23110</v>
      </c>
      <c r="BA172" s="181">
        <v>29</v>
      </c>
      <c r="BB172" s="511">
        <v>86</v>
      </c>
      <c r="BC172" s="181">
        <v>30313</v>
      </c>
      <c r="BD172" s="181">
        <v>4</v>
      </c>
      <c r="BE172" s="199">
        <v>32086</v>
      </c>
      <c r="BG172" s="183">
        <v>1871</v>
      </c>
      <c r="BH172" s="183">
        <v>50699</v>
      </c>
      <c r="BI172" s="183">
        <v>907</v>
      </c>
      <c r="BJ172" s="199">
        <v>80007</v>
      </c>
      <c r="BK172" s="199">
        <v>0</v>
      </c>
      <c r="BL172" s="199">
        <v>-20400</v>
      </c>
      <c r="BM172" s="199">
        <v>-50048</v>
      </c>
      <c r="BN172" s="199">
        <v>9559</v>
      </c>
      <c r="BP172" s="199">
        <v>12848</v>
      </c>
      <c r="BS172" s="211"/>
      <c r="BV172" s="514">
        <v>64892</v>
      </c>
      <c r="BX172" s="181">
        <v>13352</v>
      </c>
      <c r="BZ172" s="349"/>
      <c r="CB172" s="340"/>
      <c r="CC172" s="488">
        <v>21.75</v>
      </c>
      <c r="CD172" s="378"/>
      <c r="CE172" s="378"/>
      <c r="CF172" s="195"/>
      <c r="CG172" s="349"/>
      <c r="CI172" s="181">
        <v>16528</v>
      </c>
      <c r="CJ172" s="183">
        <v>1000</v>
      </c>
      <c r="CK172" s="421">
        <v>22023.601309581856</v>
      </c>
      <c r="CL172" s="494">
        <v>22845.915742334979</v>
      </c>
      <c r="CM172" s="483">
        <v>4381.5327006918978</v>
      </c>
      <c r="CN172" s="483">
        <v>4051.6062287057148</v>
      </c>
      <c r="CO172" s="483">
        <v>3604.3606234927474</v>
      </c>
      <c r="CP172" s="433">
        <f t="shared" si="2"/>
        <v>-1306.6013095818562</v>
      </c>
      <c r="CQ172" s="212"/>
      <c r="CR172" s="212">
        <v>-49186</v>
      </c>
      <c r="CS172" s="212">
        <v>-21252</v>
      </c>
      <c r="CT172" s="183">
        <v>964</v>
      </c>
      <c r="CU172" s="183">
        <v>51741</v>
      </c>
      <c r="CV172" s="485">
        <v>108</v>
      </c>
      <c r="CX172" s="422"/>
      <c r="CY172" s="475"/>
      <c r="CZ172" s="450"/>
      <c r="DA172" s="394"/>
      <c r="DB172" s="394"/>
      <c r="DC172" s="347"/>
      <c r="DD172" s="394"/>
      <c r="DE172" s="394"/>
      <c r="DF172" s="394"/>
      <c r="DG172" s="394"/>
      <c r="DH172" s="394"/>
    </row>
    <row r="173" spans="1:112" x14ac:dyDescent="0.25">
      <c r="A173" s="179">
        <v>576</v>
      </c>
      <c r="B173" s="181" t="s">
        <v>202</v>
      </c>
      <c r="C173" s="373">
        <v>2896</v>
      </c>
      <c r="D173" s="360">
        <v>21</v>
      </c>
      <c r="E173" s="213"/>
      <c r="G173" s="363">
        <v>3406</v>
      </c>
      <c r="H173" s="363">
        <v>22485</v>
      </c>
      <c r="I173" s="349"/>
      <c r="J173" s="363">
        <v>7635</v>
      </c>
      <c r="K173" s="363">
        <v>1216</v>
      </c>
      <c r="L173" s="363">
        <v>1463</v>
      </c>
      <c r="M173" s="363">
        <v>10314</v>
      </c>
      <c r="N173" s="363">
        <v>9497</v>
      </c>
      <c r="O173" s="363">
        <v>147</v>
      </c>
      <c r="P173" s="363">
        <v>70</v>
      </c>
      <c r="Q173" s="363">
        <v>116</v>
      </c>
      <c r="R173" s="363">
        <v>2</v>
      </c>
      <c r="S173" s="363">
        <v>923</v>
      </c>
      <c r="U173" s="363">
        <v>1512</v>
      </c>
      <c r="V173" s="363">
        <v>0</v>
      </c>
      <c r="W173" s="363">
        <v>0</v>
      </c>
      <c r="X173" s="363">
        <v>-589</v>
      </c>
      <c r="Y173" s="363">
        <v>-145</v>
      </c>
      <c r="Z173" s="363">
        <v>370</v>
      </c>
      <c r="AA173" s="363">
        <v>0</v>
      </c>
      <c r="AB173" s="363">
        <v>-364</v>
      </c>
      <c r="AD173" s="363">
        <v>2920</v>
      </c>
      <c r="AG173" s="363">
        <v>-1491</v>
      </c>
      <c r="AH173" s="349"/>
      <c r="AJ173" s="363">
        <v>5852</v>
      </c>
      <c r="AL173" s="363">
        <v>8865</v>
      </c>
      <c r="AN173" s="349"/>
      <c r="AO173" s="454">
        <v>2861</v>
      </c>
      <c r="AP173" s="478">
        <v>21</v>
      </c>
      <c r="AQ173" s="213"/>
      <c r="AS173" s="509">
        <v>3471</v>
      </c>
      <c r="AT173" s="349">
        <v>21904</v>
      </c>
      <c r="AU173" s="480">
        <v>-18433</v>
      </c>
      <c r="AV173" s="199">
        <v>8096</v>
      </c>
      <c r="AW173" s="199">
        <v>1313</v>
      </c>
      <c r="AX173" s="199">
        <v>1327</v>
      </c>
      <c r="AY173" s="199">
        <v>10736</v>
      </c>
      <c r="AZ173" s="199">
        <v>11108</v>
      </c>
      <c r="BA173" s="181">
        <v>89</v>
      </c>
      <c r="BB173" s="511">
        <v>63</v>
      </c>
      <c r="BC173" s="181">
        <v>83</v>
      </c>
      <c r="BD173" s="181">
        <v>7</v>
      </c>
      <c r="BE173" s="199">
        <v>3513</v>
      </c>
      <c r="BG173" s="183">
        <v>1474</v>
      </c>
      <c r="BH173" s="183">
        <v>0</v>
      </c>
      <c r="BI173" s="183">
        <v>0</v>
      </c>
      <c r="BJ173" s="199">
        <v>2039</v>
      </c>
      <c r="BK173" s="183">
        <v>161</v>
      </c>
      <c r="BL173" s="183">
        <v>51</v>
      </c>
      <c r="BM173" s="183">
        <v>0</v>
      </c>
      <c r="BN173" s="199">
        <v>2251</v>
      </c>
      <c r="BP173" s="199">
        <v>5173</v>
      </c>
      <c r="BS173" s="211"/>
      <c r="BV173" s="514">
        <v>8182</v>
      </c>
      <c r="BX173" s="181">
        <v>8785</v>
      </c>
      <c r="BZ173" s="349"/>
      <c r="CB173" s="340"/>
      <c r="CC173" s="488">
        <v>21</v>
      </c>
      <c r="CD173" s="378"/>
      <c r="CE173" s="378"/>
      <c r="CF173" s="195"/>
      <c r="CG173" s="349"/>
      <c r="CI173" s="181">
        <v>8983</v>
      </c>
      <c r="CJ173" s="183">
        <v>0</v>
      </c>
      <c r="CK173" s="421">
        <v>10475.662850748331</v>
      </c>
      <c r="CL173" s="494">
        <v>11003.889473914986</v>
      </c>
      <c r="CM173" s="483">
        <v>1981.4700952484629</v>
      </c>
      <c r="CN173" s="483">
        <v>1879.8440431973274</v>
      </c>
      <c r="CO173" s="483">
        <v>1649.6601675887948</v>
      </c>
      <c r="CP173" s="433">
        <f t="shared" si="2"/>
        <v>-978.66285074833104</v>
      </c>
      <c r="CQ173" s="212"/>
      <c r="CR173" s="212">
        <v>-73</v>
      </c>
      <c r="CS173" s="212">
        <v>-1285</v>
      </c>
      <c r="CT173" s="183">
        <v>242</v>
      </c>
      <c r="CU173" s="183">
        <v>78</v>
      </c>
      <c r="CV173" s="485">
        <v>-19</v>
      </c>
      <c r="CX173" s="422"/>
      <c r="CY173" s="475"/>
      <c r="CZ173" s="450"/>
      <c r="DA173" s="394"/>
      <c r="DB173" s="394"/>
      <c r="DC173" s="347"/>
      <c r="DD173" s="394"/>
      <c r="DE173" s="394"/>
      <c r="DF173" s="394"/>
      <c r="DG173" s="394"/>
      <c r="DH173" s="394"/>
    </row>
    <row r="174" spans="1:112" x14ac:dyDescent="0.25">
      <c r="A174" s="179">
        <v>577</v>
      </c>
      <c r="B174" s="181" t="s">
        <v>203</v>
      </c>
      <c r="C174" s="373">
        <v>10850</v>
      </c>
      <c r="D174" s="360">
        <v>20.75</v>
      </c>
      <c r="E174" s="213"/>
      <c r="G174" s="363">
        <v>6519</v>
      </c>
      <c r="H174" s="363">
        <v>64901</v>
      </c>
      <c r="I174" s="349"/>
      <c r="J174" s="363">
        <v>39807</v>
      </c>
      <c r="K174" s="363">
        <v>1302</v>
      </c>
      <c r="L174" s="363">
        <v>2386</v>
      </c>
      <c r="M174" s="363">
        <v>43495</v>
      </c>
      <c r="N174" s="363">
        <v>14324</v>
      </c>
      <c r="O174" s="363">
        <v>450</v>
      </c>
      <c r="P174" s="363">
        <v>266</v>
      </c>
      <c r="Q174" s="363">
        <v>492</v>
      </c>
      <c r="R174" s="363">
        <v>3</v>
      </c>
      <c r="S174" s="363">
        <v>110</v>
      </c>
      <c r="U174" s="363">
        <v>2172</v>
      </c>
      <c r="V174" s="363">
        <v>360</v>
      </c>
      <c r="W174" s="363">
        <v>0</v>
      </c>
      <c r="X174" s="363">
        <v>-1702</v>
      </c>
      <c r="Y174" s="363">
        <v>84</v>
      </c>
      <c r="Z174" s="363">
        <v>0</v>
      </c>
      <c r="AA174" s="363">
        <v>0</v>
      </c>
      <c r="AB174" s="363">
        <v>-1618</v>
      </c>
      <c r="AD174" s="363">
        <v>10087</v>
      </c>
      <c r="AG174" s="363">
        <v>-6372</v>
      </c>
      <c r="AH174" s="349"/>
      <c r="AJ174" s="363">
        <v>5759</v>
      </c>
      <c r="AL174" s="363">
        <v>60871</v>
      </c>
      <c r="AN174" s="349"/>
      <c r="AO174" s="454">
        <v>10922</v>
      </c>
      <c r="AP174" s="478">
        <v>20.75</v>
      </c>
      <c r="AQ174" s="213"/>
      <c r="AS174" s="509">
        <v>6200</v>
      </c>
      <c r="AT174" s="349">
        <v>65804</v>
      </c>
      <c r="AU174" s="480">
        <v>-59604</v>
      </c>
      <c r="AV174" s="199">
        <v>40486</v>
      </c>
      <c r="AW174" s="199">
        <v>1342</v>
      </c>
      <c r="AX174" s="199">
        <v>2179</v>
      </c>
      <c r="AY174" s="199">
        <v>44007</v>
      </c>
      <c r="AZ174" s="199">
        <v>19093</v>
      </c>
      <c r="BA174" s="181">
        <v>463</v>
      </c>
      <c r="BB174" s="511">
        <v>234</v>
      </c>
      <c r="BC174" s="181">
        <v>568</v>
      </c>
      <c r="BD174" s="181">
        <v>14</v>
      </c>
      <c r="BE174" s="199">
        <v>4279</v>
      </c>
      <c r="BG174" s="183">
        <v>2573</v>
      </c>
      <c r="BH174" s="183">
        <v>0</v>
      </c>
      <c r="BI174" s="183">
        <v>0</v>
      </c>
      <c r="BJ174" s="199">
        <v>1706</v>
      </c>
      <c r="BK174" s="183">
        <v>84</v>
      </c>
      <c r="BL174" s="183">
        <v>0</v>
      </c>
      <c r="BM174" s="183">
        <v>0</v>
      </c>
      <c r="BN174" s="199">
        <v>1790</v>
      </c>
      <c r="BP174" s="199">
        <v>11877</v>
      </c>
      <c r="BS174" s="211"/>
      <c r="BV174" s="514">
        <v>2454</v>
      </c>
      <c r="BX174" s="181">
        <v>54725</v>
      </c>
      <c r="BZ174" s="349"/>
      <c r="CB174" s="340"/>
      <c r="CC174" s="488">
        <v>20.75</v>
      </c>
      <c r="CD174" s="378"/>
      <c r="CE174" s="378"/>
      <c r="CF174" s="195"/>
      <c r="CG174" s="349"/>
      <c r="CI174" s="181">
        <v>10768</v>
      </c>
      <c r="CJ174" s="183">
        <v>1500</v>
      </c>
      <c r="CK174" s="421">
        <v>17424.826941426967</v>
      </c>
      <c r="CL174" s="494">
        <v>19267.516868919371</v>
      </c>
      <c r="CM174" s="483">
        <v>5933.2644981966932</v>
      </c>
      <c r="CN174" s="483">
        <v>6439.327503939332</v>
      </c>
      <c r="CO174" s="483">
        <v>6969.0536868472791</v>
      </c>
      <c r="CP174" s="433">
        <f t="shared" si="2"/>
        <v>-3100.8269414269671</v>
      </c>
      <c r="CQ174" s="212"/>
      <c r="CR174" s="212">
        <v>-210</v>
      </c>
      <c r="CS174" s="212">
        <v>-2015</v>
      </c>
      <c r="CT174" s="183">
        <v>108</v>
      </c>
      <c r="CU174" s="183">
        <v>311</v>
      </c>
      <c r="CV174" s="485">
        <v>150</v>
      </c>
      <c r="CX174" s="422"/>
      <c r="CY174" s="475"/>
      <c r="CZ174" s="450"/>
      <c r="DA174" s="394"/>
      <c r="DB174" s="394"/>
      <c r="DC174" s="347"/>
      <c r="DD174" s="394"/>
      <c r="DE174" s="394"/>
      <c r="DF174" s="394"/>
      <c r="DG174" s="394"/>
      <c r="DH174" s="394"/>
    </row>
    <row r="175" spans="1:112" x14ac:dyDescent="0.25">
      <c r="A175" s="179">
        <v>578</v>
      </c>
      <c r="B175" s="181" t="s">
        <v>204</v>
      </c>
      <c r="C175" s="373">
        <v>3273</v>
      </c>
      <c r="D175" s="360">
        <v>22</v>
      </c>
      <c r="E175" s="213"/>
      <c r="G175" s="363">
        <v>3747</v>
      </c>
      <c r="H175" s="363">
        <v>27626</v>
      </c>
      <c r="I175" s="349"/>
      <c r="J175" s="363">
        <v>9333</v>
      </c>
      <c r="K175" s="363">
        <v>623</v>
      </c>
      <c r="L175" s="363">
        <v>1290</v>
      </c>
      <c r="M175" s="363">
        <v>11246</v>
      </c>
      <c r="N175" s="363">
        <v>12882</v>
      </c>
      <c r="O175" s="363">
        <v>0</v>
      </c>
      <c r="P175" s="363">
        <v>103</v>
      </c>
      <c r="Q175" s="363">
        <v>731</v>
      </c>
      <c r="R175" s="363">
        <v>67</v>
      </c>
      <c r="S175" s="363">
        <v>810</v>
      </c>
      <c r="U175" s="363">
        <v>1341</v>
      </c>
      <c r="V175" s="363">
        <v>0</v>
      </c>
      <c r="W175" s="363">
        <v>0</v>
      </c>
      <c r="X175" s="363">
        <v>-531</v>
      </c>
      <c r="Y175" s="363">
        <v>20</v>
      </c>
      <c r="Z175" s="363">
        <v>0</v>
      </c>
      <c r="AA175" s="363">
        <v>186</v>
      </c>
      <c r="AB175" s="363">
        <v>-325</v>
      </c>
      <c r="AD175" s="363">
        <v>931</v>
      </c>
      <c r="AG175" s="363">
        <v>-1578</v>
      </c>
      <c r="AH175" s="349"/>
      <c r="AJ175" s="363">
        <v>6054</v>
      </c>
      <c r="AL175" s="363">
        <v>17366</v>
      </c>
      <c r="AN175" s="349"/>
      <c r="AO175" s="454">
        <v>3235</v>
      </c>
      <c r="AP175" s="478">
        <v>22</v>
      </c>
      <c r="AQ175" s="213"/>
      <c r="AS175" s="509">
        <v>3294</v>
      </c>
      <c r="AT175" s="349">
        <v>28537</v>
      </c>
      <c r="AU175" s="480">
        <v>-25243</v>
      </c>
      <c r="AV175" s="199">
        <v>9417</v>
      </c>
      <c r="AW175" s="199">
        <v>699</v>
      </c>
      <c r="AX175" s="199">
        <v>1186</v>
      </c>
      <c r="AY175" s="199">
        <v>11302</v>
      </c>
      <c r="AZ175" s="199">
        <v>14292</v>
      </c>
      <c r="BA175" s="181">
        <v>0</v>
      </c>
      <c r="BB175" s="511">
        <v>208</v>
      </c>
      <c r="BC175" s="181">
        <v>257</v>
      </c>
      <c r="BD175" s="181">
        <v>2</v>
      </c>
      <c r="BE175" s="199">
        <v>398</v>
      </c>
      <c r="BG175" s="183">
        <v>1341</v>
      </c>
      <c r="BH175" s="199">
        <v>0</v>
      </c>
      <c r="BI175" s="183">
        <v>0</v>
      </c>
      <c r="BJ175" s="199">
        <v>-943</v>
      </c>
      <c r="BK175" s="199">
        <v>20</v>
      </c>
      <c r="BL175" s="183">
        <v>0</v>
      </c>
      <c r="BM175" s="199">
        <v>0</v>
      </c>
      <c r="BN175" s="199">
        <v>-923</v>
      </c>
      <c r="BP175" s="199">
        <v>8</v>
      </c>
      <c r="BS175" s="211"/>
      <c r="BV175" s="514">
        <v>6301</v>
      </c>
      <c r="BX175" s="181">
        <v>17033</v>
      </c>
      <c r="BZ175" s="349"/>
      <c r="CB175" s="340"/>
      <c r="CC175" s="488">
        <v>22</v>
      </c>
      <c r="CD175" s="378"/>
      <c r="CE175" s="378"/>
      <c r="CF175" s="195"/>
      <c r="CG175" s="349"/>
      <c r="CI175" s="181">
        <v>10619</v>
      </c>
      <c r="CJ175" s="183">
        <v>0</v>
      </c>
      <c r="CK175" s="421">
        <v>13644.536006518669</v>
      </c>
      <c r="CL175" s="494">
        <v>13346.027396183703</v>
      </c>
      <c r="CM175" s="483">
        <v>3405.8067354903856</v>
      </c>
      <c r="CN175" s="483">
        <v>3110.970356877529</v>
      </c>
      <c r="CO175" s="483">
        <v>2930.8660540160949</v>
      </c>
      <c r="CP175" s="433">
        <f t="shared" si="2"/>
        <v>-762.53600651866873</v>
      </c>
      <c r="CQ175" s="212"/>
      <c r="CR175" s="212">
        <v>1</v>
      </c>
      <c r="CS175" s="212">
        <v>-1252</v>
      </c>
      <c r="CT175" s="183">
        <v>0</v>
      </c>
      <c r="CU175" s="183">
        <v>82</v>
      </c>
      <c r="CV175" s="485">
        <v>0</v>
      </c>
      <c r="CX175" s="422"/>
      <c r="CY175" s="475"/>
      <c r="CZ175" s="450"/>
      <c r="DA175" s="394"/>
      <c r="DB175" s="394"/>
      <c r="DC175" s="347"/>
      <c r="DD175" s="394"/>
      <c r="DE175" s="394"/>
      <c r="DF175" s="394"/>
      <c r="DG175" s="394"/>
      <c r="DH175" s="394"/>
    </row>
    <row r="176" spans="1:112" x14ac:dyDescent="0.25">
      <c r="A176" s="179">
        <v>445</v>
      </c>
      <c r="B176" s="349" t="s">
        <v>422</v>
      </c>
      <c r="C176" s="373">
        <v>15132</v>
      </c>
      <c r="D176" s="360">
        <v>19.75</v>
      </c>
      <c r="E176" s="213"/>
      <c r="G176" s="363">
        <v>16945</v>
      </c>
      <c r="H176" s="363">
        <v>112389</v>
      </c>
      <c r="I176" s="349"/>
      <c r="J176" s="363">
        <v>55114</v>
      </c>
      <c r="K176" s="363">
        <v>2534</v>
      </c>
      <c r="L176" s="363">
        <v>9399</v>
      </c>
      <c r="M176" s="363">
        <v>67047</v>
      </c>
      <c r="N176" s="363">
        <v>28657</v>
      </c>
      <c r="O176" s="363">
        <v>1</v>
      </c>
      <c r="P176" s="363">
        <v>812</v>
      </c>
      <c r="Q176" s="363">
        <v>147</v>
      </c>
      <c r="R176" s="363">
        <v>13</v>
      </c>
      <c r="S176" s="363">
        <v>-417</v>
      </c>
      <c r="U176" s="363">
        <v>4997</v>
      </c>
      <c r="V176" s="363">
        <v>0</v>
      </c>
      <c r="W176" s="363">
        <v>0</v>
      </c>
      <c r="X176" s="363">
        <v>-5414</v>
      </c>
      <c r="Y176" s="363">
        <v>42</v>
      </c>
      <c r="Z176" s="363">
        <v>0</v>
      </c>
      <c r="AA176" s="363">
        <v>0</v>
      </c>
      <c r="AB176" s="363">
        <v>-5372</v>
      </c>
      <c r="AD176" s="363">
        <v>5440</v>
      </c>
      <c r="AG176" s="363">
        <v>-2879</v>
      </c>
      <c r="AH176" s="349"/>
      <c r="AJ176" s="363">
        <v>3000</v>
      </c>
      <c r="AL176" s="363">
        <v>44959</v>
      </c>
      <c r="AN176" s="349"/>
      <c r="AO176" s="454">
        <v>15105</v>
      </c>
      <c r="AP176" s="478">
        <v>20</v>
      </c>
      <c r="AQ176" s="213"/>
      <c r="AS176" s="509">
        <v>16822</v>
      </c>
      <c r="AT176" s="349">
        <v>113855</v>
      </c>
      <c r="AU176" s="480">
        <v>-97033</v>
      </c>
      <c r="AV176" s="199">
        <v>57437</v>
      </c>
      <c r="AW176" s="199">
        <v>2600</v>
      </c>
      <c r="AX176" s="199">
        <v>8673</v>
      </c>
      <c r="AY176" s="199">
        <v>68710</v>
      </c>
      <c r="AZ176" s="199">
        <v>35202</v>
      </c>
      <c r="BA176" s="181">
        <v>1</v>
      </c>
      <c r="BB176" s="511">
        <v>821</v>
      </c>
      <c r="BC176" s="181">
        <v>138</v>
      </c>
      <c r="BD176" s="181">
        <v>15</v>
      </c>
      <c r="BE176" s="199">
        <v>6182</v>
      </c>
      <c r="BG176" s="183">
        <v>4881</v>
      </c>
      <c r="BH176" s="199">
        <v>0</v>
      </c>
      <c r="BI176" s="199">
        <v>200</v>
      </c>
      <c r="BJ176" s="199">
        <v>1101</v>
      </c>
      <c r="BK176" s="199">
        <v>42</v>
      </c>
      <c r="BL176" s="199">
        <v>0</v>
      </c>
      <c r="BM176" s="199">
        <v>0</v>
      </c>
      <c r="BN176" s="199">
        <v>1143</v>
      </c>
      <c r="BP176" s="199">
        <v>6807</v>
      </c>
      <c r="BS176" s="211"/>
      <c r="BV176" s="514">
        <v>4673</v>
      </c>
      <c r="BX176" s="181">
        <v>42802</v>
      </c>
      <c r="BZ176" s="349"/>
      <c r="CB176" s="340"/>
      <c r="CC176" s="488">
        <v>20</v>
      </c>
      <c r="CD176" s="378"/>
      <c r="CE176" s="378"/>
      <c r="CF176" s="195"/>
      <c r="CG176" s="349"/>
      <c r="CI176" s="181">
        <v>27301</v>
      </c>
      <c r="CJ176" s="183">
        <v>0</v>
      </c>
      <c r="CK176" s="421">
        <v>31672.88810943333</v>
      </c>
      <c r="CL176" s="494">
        <v>35061.83963365473</v>
      </c>
      <c r="CM176" s="483">
        <v>8542.3809946943475</v>
      </c>
      <c r="CN176" s="483">
        <v>8563.0203421078913</v>
      </c>
      <c r="CO176" s="483">
        <v>8811.6049532383786</v>
      </c>
      <c r="CP176" s="433">
        <f t="shared" si="2"/>
        <v>-3015.8881094333301</v>
      </c>
      <c r="CQ176" s="212"/>
      <c r="CR176" s="212">
        <v>339</v>
      </c>
      <c r="CS176" s="212">
        <v>-5423</v>
      </c>
      <c r="CT176" s="183">
        <v>416</v>
      </c>
      <c r="CU176" s="183">
        <v>636</v>
      </c>
      <c r="CV176" s="485">
        <v>0</v>
      </c>
      <c r="CX176" s="422"/>
      <c r="CY176" s="475"/>
      <c r="CZ176" s="450"/>
      <c r="DA176" s="394"/>
      <c r="DB176" s="394"/>
      <c r="DC176" s="347"/>
      <c r="DD176" s="394"/>
      <c r="DE176" s="394"/>
      <c r="DF176" s="394"/>
      <c r="DG176" s="394"/>
      <c r="DH176" s="394"/>
    </row>
    <row r="177" spans="1:112" x14ac:dyDescent="0.25">
      <c r="A177" s="179">
        <v>580</v>
      </c>
      <c r="B177" s="181" t="s">
        <v>205</v>
      </c>
      <c r="C177" s="373">
        <v>4734</v>
      </c>
      <c r="D177" s="360">
        <v>19.5</v>
      </c>
      <c r="E177" s="213"/>
      <c r="G177" s="363">
        <v>7278</v>
      </c>
      <c r="H177" s="363">
        <v>38673</v>
      </c>
      <c r="I177" s="349"/>
      <c r="J177" s="363">
        <v>12262</v>
      </c>
      <c r="K177" s="363">
        <v>1457</v>
      </c>
      <c r="L177" s="363">
        <v>1334</v>
      </c>
      <c r="M177" s="363">
        <v>15053</v>
      </c>
      <c r="N177" s="363">
        <v>16128</v>
      </c>
      <c r="O177" s="363">
        <v>0</v>
      </c>
      <c r="P177" s="363">
        <v>8</v>
      </c>
      <c r="Q177" s="363">
        <v>33</v>
      </c>
      <c r="R177" s="363">
        <v>3</v>
      </c>
      <c r="S177" s="363">
        <v>-192</v>
      </c>
      <c r="U177" s="363">
        <v>1511</v>
      </c>
      <c r="V177" s="363">
        <v>0</v>
      </c>
      <c r="W177" s="363">
        <v>0</v>
      </c>
      <c r="X177" s="363">
        <v>-1703</v>
      </c>
      <c r="Y177" s="363">
        <v>18</v>
      </c>
      <c r="Z177" s="363">
        <v>0</v>
      </c>
      <c r="AA177" s="363">
        <v>-3</v>
      </c>
      <c r="AB177" s="363">
        <v>-1688</v>
      </c>
      <c r="AD177" s="363">
        <v>18303</v>
      </c>
      <c r="AG177" s="363">
        <v>-2171</v>
      </c>
      <c r="AH177" s="349"/>
      <c r="AJ177" s="363">
        <v>5151</v>
      </c>
      <c r="AL177" s="363">
        <v>1403</v>
      </c>
      <c r="AN177" s="349"/>
      <c r="AO177" s="454">
        <v>4655</v>
      </c>
      <c r="AP177" s="478">
        <v>20.5</v>
      </c>
      <c r="AQ177" s="213"/>
      <c r="AS177" s="509">
        <v>7362</v>
      </c>
      <c r="AT177" s="349">
        <v>40863</v>
      </c>
      <c r="AU177" s="480">
        <v>-33501</v>
      </c>
      <c r="AV177" s="199">
        <v>12889</v>
      </c>
      <c r="AW177" s="199">
        <v>1545</v>
      </c>
      <c r="AX177" s="199">
        <v>1223</v>
      </c>
      <c r="AY177" s="199">
        <v>15657</v>
      </c>
      <c r="AZ177" s="199">
        <v>18165</v>
      </c>
      <c r="BA177" s="181">
        <v>0</v>
      </c>
      <c r="BB177" s="511">
        <v>6</v>
      </c>
      <c r="BC177" s="181">
        <v>37</v>
      </c>
      <c r="BD177" s="181">
        <v>2</v>
      </c>
      <c r="BE177" s="199">
        <v>350</v>
      </c>
      <c r="BG177" s="183">
        <v>1899</v>
      </c>
      <c r="BH177" s="199">
        <v>0</v>
      </c>
      <c r="BI177" s="199">
        <v>0</v>
      </c>
      <c r="BJ177" s="199">
        <v>-1549</v>
      </c>
      <c r="BK177" s="199">
        <v>18</v>
      </c>
      <c r="BL177" s="199">
        <v>0</v>
      </c>
      <c r="BM177" s="199">
        <v>-4</v>
      </c>
      <c r="BN177" s="199">
        <v>-1535</v>
      </c>
      <c r="BP177" s="199">
        <v>16767</v>
      </c>
      <c r="BS177" s="211"/>
      <c r="BV177" s="514">
        <v>5859</v>
      </c>
      <c r="BX177" s="181">
        <v>1115</v>
      </c>
      <c r="BZ177" s="349"/>
      <c r="CB177" s="340"/>
      <c r="CC177" s="488">
        <v>20.5</v>
      </c>
      <c r="CD177" s="378"/>
      <c r="CE177" s="378"/>
      <c r="CF177" s="195"/>
      <c r="CG177" s="349"/>
      <c r="CI177" s="181">
        <v>15519</v>
      </c>
      <c r="CJ177" s="183">
        <v>0</v>
      </c>
      <c r="CK177" s="421">
        <v>17882.568256271432</v>
      </c>
      <c r="CL177" s="494">
        <v>18443.9451593548</v>
      </c>
      <c r="CM177" s="483">
        <v>1969.7727893039335</v>
      </c>
      <c r="CN177" s="483">
        <v>1640.9436028777034</v>
      </c>
      <c r="CO177" s="483">
        <v>1401.519548461293</v>
      </c>
      <c r="CP177" s="433">
        <f t="shared" si="2"/>
        <v>-1754.5682562714319</v>
      </c>
      <c r="CQ177" s="212"/>
      <c r="CR177" s="212">
        <v>1089</v>
      </c>
      <c r="CS177" s="212">
        <v>-1345</v>
      </c>
      <c r="CT177" s="183">
        <v>69</v>
      </c>
      <c r="CU177" s="183">
        <v>99</v>
      </c>
      <c r="CV177" s="485">
        <v>0</v>
      </c>
      <c r="CX177" s="422"/>
      <c r="CY177" s="475"/>
      <c r="CZ177" s="450"/>
      <c r="DA177" s="394"/>
      <c r="DB177" s="394"/>
      <c r="DC177" s="347"/>
      <c r="DD177" s="394"/>
      <c r="DE177" s="394"/>
      <c r="DF177" s="394"/>
      <c r="DG177" s="394"/>
      <c r="DH177" s="394"/>
    </row>
    <row r="178" spans="1:112" x14ac:dyDescent="0.25">
      <c r="A178" s="179">
        <v>581</v>
      </c>
      <c r="B178" s="181" t="s">
        <v>206</v>
      </c>
      <c r="C178" s="373">
        <v>6404</v>
      </c>
      <c r="D178" s="360">
        <v>22</v>
      </c>
      <c r="E178" s="213"/>
      <c r="G178" s="363">
        <v>18760</v>
      </c>
      <c r="H178" s="363">
        <v>58366</v>
      </c>
      <c r="I178" s="349"/>
      <c r="J178" s="363">
        <v>18997</v>
      </c>
      <c r="K178" s="363">
        <v>2106</v>
      </c>
      <c r="L178" s="363">
        <v>1956</v>
      </c>
      <c r="M178" s="363">
        <v>23059</v>
      </c>
      <c r="N178" s="363">
        <v>18475</v>
      </c>
      <c r="O178" s="363">
        <v>0</v>
      </c>
      <c r="P178" s="363">
        <v>203</v>
      </c>
      <c r="Q178" s="363">
        <v>232</v>
      </c>
      <c r="R178" s="363">
        <v>418</v>
      </c>
      <c r="S178" s="363">
        <v>1539</v>
      </c>
      <c r="U178" s="363">
        <v>1974</v>
      </c>
      <c r="V178" s="363">
        <v>0</v>
      </c>
      <c r="W178" s="363">
        <v>0</v>
      </c>
      <c r="X178" s="363">
        <v>-435</v>
      </c>
      <c r="Y178" s="363">
        <v>0</v>
      </c>
      <c r="Z178" s="363">
        <v>0</v>
      </c>
      <c r="AA178" s="363">
        <v>0</v>
      </c>
      <c r="AB178" s="363">
        <v>-435</v>
      </c>
      <c r="AD178" s="363">
        <v>11562</v>
      </c>
      <c r="AG178" s="363">
        <v>-3045</v>
      </c>
      <c r="AH178" s="349"/>
      <c r="AJ178" s="363">
        <v>1436</v>
      </c>
      <c r="AL178" s="363">
        <v>20076</v>
      </c>
      <c r="AN178" s="349"/>
      <c r="AO178" s="454">
        <v>6352</v>
      </c>
      <c r="AP178" s="478">
        <v>22</v>
      </c>
      <c r="AQ178" s="213"/>
      <c r="AS178" s="509">
        <v>17422</v>
      </c>
      <c r="AT178" s="349">
        <v>59752</v>
      </c>
      <c r="AU178" s="480">
        <v>-42330</v>
      </c>
      <c r="AV178" s="199">
        <v>19782</v>
      </c>
      <c r="AW178" s="199">
        <v>2249</v>
      </c>
      <c r="AX178" s="199">
        <v>1772</v>
      </c>
      <c r="AY178" s="199">
        <v>23803</v>
      </c>
      <c r="AZ178" s="199">
        <v>21633</v>
      </c>
      <c r="BA178" s="181">
        <v>0</v>
      </c>
      <c r="BB178" s="511">
        <v>190</v>
      </c>
      <c r="BC178" s="181">
        <v>243</v>
      </c>
      <c r="BD178" s="181">
        <v>555</v>
      </c>
      <c r="BE178" s="199">
        <v>2604</v>
      </c>
      <c r="BG178" s="183">
        <v>2111</v>
      </c>
      <c r="BH178" s="183">
        <v>0</v>
      </c>
      <c r="BI178" s="183">
        <v>0</v>
      </c>
      <c r="BJ178" s="199">
        <v>493</v>
      </c>
      <c r="BK178" s="183">
        <v>0</v>
      </c>
      <c r="BL178" s="183">
        <v>0</v>
      </c>
      <c r="BM178" s="183">
        <v>0</v>
      </c>
      <c r="BN178" s="199">
        <v>493</v>
      </c>
      <c r="BP178" s="199">
        <v>12055</v>
      </c>
      <c r="BS178" s="211"/>
      <c r="BV178" s="514">
        <v>3176</v>
      </c>
      <c r="BX178" s="181">
        <v>21883</v>
      </c>
      <c r="BZ178" s="349"/>
      <c r="CB178" s="340"/>
      <c r="CC178" s="488">
        <v>22</v>
      </c>
      <c r="CD178" s="378"/>
      <c r="CE178" s="378"/>
      <c r="CF178" s="195"/>
      <c r="CG178" s="349"/>
      <c r="CI178" s="181">
        <v>13786</v>
      </c>
      <c r="CJ178" s="183">
        <v>0</v>
      </c>
      <c r="CK178" s="421">
        <v>20484.115871806483</v>
      </c>
      <c r="CL178" s="494">
        <v>22254.094814024556</v>
      </c>
      <c r="CM178" s="483">
        <v>5209.1866801076121</v>
      </c>
      <c r="CN178" s="483">
        <v>5251.4981851227603</v>
      </c>
      <c r="CO178" s="483">
        <v>5059.8327030852361</v>
      </c>
      <c r="CP178" s="433">
        <f t="shared" si="2"/>
        <v>-2009.1158718064835</v>
      </c>
      <c r="CQ178" s="212"/>
      <c r="CR178" s="212">
        <v>12</v>
      </c>
      <c r="CS178" s="212">
        <v>-5124</v>
      </c>
      <c r="CT178" s="183">
        <v>1002</v>
      </c>
      <c r="CU178" s="183">
        <v>523</v>
      </c>
      <c r="CV178" s="485">
        <v>52</v>
      </c>
      <c r="CX178" s="422"/>
      <c r="CY178" s="475"/>
      <c r="CZ178" s="450"/>
      <c r="DA178" s="394"/>
      <c r="DB178" s="394"/>
      <c r="DC178" s="347"/>
      <c r="DD178" s="394"/>
      <c r="DE178" s="394"/>
      <c r="DF178" s="394"/>
      <c r="DG178" s="394"/>
      <c r="DH178" s="394"/>
    </row>
    <row r="179" spans="1:112" x14ac:dyDescent="0.25">
      <c r="A179" s="179">
        <v>599</v>
      </c>
      <c r="B179" s="181" t="s">
        <v>207</v>
      </c>
      <c r="C179" s="373">
        <v>11081</v>
      </c>
      <c r="D179" s="360">
        <v>20.5</v>
      </c>
      <c r="E179" s="213"/>
      <c r="G179" s="363">
        <v>13325</v>
      </c>
      <c r="H179" s="363">
        <v>77213</v>
      </c>
      <c r="I179" s="349"/>
      <c r="J179" s="363">
        <v>30431</v>
      </c>
      <c r="K179" s="363">
        <v>2645</v>
      </c>
      <c r="L179" s="363">
        <v>2354</v>
      </c>
      <c r="M179" s="363">
        <v>35430</v>
      </c>
      <c r="N179" s="363">
        <v>26537</v>
      </c>
      <c r="O179" s="363">
        <v>45</v>
      </c>
      <c r="P179" s="363">
        <v>10</v>
      </c>
      <c r="Q179" s="363">
        <v>200</v>
      </c>
      <c r="R179" s="363">
        <v>24</v>
      </c>
      <c r="S179" s="363">
        <v>-1710</v>
      </c>
      <c r="U179" s="363">
        <v>2297</v>
      </c>
      <c r="V179" s="363">
        <v>0</v>
      </c>
      <c r="W179" s="363">
        <v>0</v>
      </c>
      <c r="X179" s="363">
        <v>-4007</v>
      </c>
      <c r="Y179" s="363">
        <v>45</v>
      </c>
      <c r="Z179" s="363">
        <v>0</v>
      </c>
      <c r="AA179" s="363">
        <v>0</v>
      </c>
      <c r="AB179" s="363">
        <v>-3962</v>
      </c>
      <c r="AD179" s="363">
        <v>6290</v>
      </c>
      <c r="AG179" s="363">
        <v>-5296</v>
      </c>
      <c r="AH179" s="349"/>
      <c r="AJ179" s="363">
        <v>2859</v>
      </c>
      <c r="AL179" s="363">
        <v>35059</v>
      </c>
      <c r="AN179" s="349"/>
      <c r="AO179" s="454">
        <v>11174</v>
      </c>
      <c r="AP179" s="478">
        <v>21</v>
      </c>
      <c r="AQ179" s="213"/>
      <c r="AS179" s="509">
        <v>13111</v>
      </c>
      <c r="AT179" s="349">
        <v>75845</v>
      </c>
      <c r="AU179" s="480">
        <v>-62734</v>
      </c>
      <c r="AV179" s="199">
        <v>32902</v>
      </c>
      <c r="AW179" s="199">
        <v>2925</v>
      </c>
      <c r="AX179" s="199">
        <v>2170</v>
      </c>
      <c r="AY179" s="199">
        <v>37997</v>
      </c>
      <c r="AZ179" s="199">
        <v>31120</v>
      </c>
      <c r="BA179" s="181">
        <v>43</v>
      </c>
      <c r="BB179" s="511">
        <v>61</v>
      </c>
      <c r="BC179" s="181">
        <v>202</v>
      </c>
      <c r="BD179" s="181">
        <v>5</v>
      </c>
      <c r="BE179" s="199">
        <v>6562</v>
      </c>
      <c r="BG179" s="183">
        <v>2592</v>
      </c>
      <c r="BH179" s="183">
        <v>0</v>
      </c>
      <c r="BI179" s="183">
        <v>0</v>
      </c>
      <c r="BJ179" s="199">
        <v>3970</v>
      </c>
      <c r="BK179" s="199">
        <v>45</v>
      </c>
      <c r="BL179" s="199">
        <v>0</v>
      </c>
      <c r="BM179" s="199">
        <v>0</v>
      </c>
      <c r="BN179" s="199">
        <v>4015</v>
      </c>
      <c r="BP179" s="199">
        <v>10305</v>
      </c>
      <c r="BS179" s="211"/>
      <c r="BV179" s="514">
        <v>10145</v>
      </c>
      <c r="BX179" s="181">
        <v>37032</v>
      </c>
      <c r="BZ179" s="349"/>
      <c r="CB179" s="340"/>
      <c r="CC179" s="488">
        <v>21</v>
      </c>
      <c r="CD179" s="378"/>
      <c r="CE179" s="378"/>
      <c r="CF179" s="195"/>
      <c r="CG179" s="349"/>
      <c r="CI179" s="181">
        <v>24766</v>
      </c>
      <c r="CJ179" s="183">
        <v>0</v>
      </c>
      <c r="CK179" s="421">
        <v>29820.859032974531</v>
      </c>
      <c r="CL179" s="494">
        <v>32058.210049370351</v>
      </c>
      <c r="CM179" s="483">
        <v>14667.195486297585</v>
      </c>
      <c r="CN179" s="483">
        <v>14806.040577228443</v>
      </c>
      <c r="CO179" s="483">
        <v>15126.499372910917</v>
      </c>
      <c r="CP179" s="433">
        <f t="shared" si="2"/>
        <v>-3283.8590329745311</v>
      </c>
      <c r="CQ179" s="212"/>
      <c r="CR179" s="212">
        <v>-122</v>
      </c>
      <c r="CS179" s="212">
        <v>-1896</v>
      </c>
      <c r="CT179" s="183">
        <v>28</v>
      </c>
      <c r="CU179" s="183">
        <v>150</v>
      </c>
      <c r="CV179" s="485">
        <v>-154</v>
      </c>
      <c r="CX179" s="422"/>
      <c r="CY179" s="475"/>
      <c r="CZ179" s="450"/>
      <c r="DA179" s="394"/>
      <c r="DB179" s="394"/>
      <c r="DC179" s="347"/>
      <c r="DD179" s="394"/>
      <c r="DE179" s="394"/>
      <c r="DF179" s="394"/>
      <c r="DG179" s="394"/>
      <c r="DH179" s="394"/>
    </row>
    <row r="180" spans="1:112" x14ac:dyDescent="0.25">
      <c r="A180" s="179">
        <v>583</v>
      </c>
      <c r="B180" s="181" t="s">
        <v>208</v>
      </c>
      <c r="C180" s="373">
        <v>939</v>
      </c>
      <c r="D180" s="360">
        <v>22.25</v>
      </c>
      <c r="E180" s="213"/>
      <c r="G180" s="363">
        <v>1422</v>
      </c>
      <c r="H180" s="363">
        <v>11149</v>
      </c>
      <c r="I180" s="349"/>
      <c r="J180" s="363">
        <v>2826</v>
      </c>
      <c r="K180" s="363">
        <v>357</v>
      </c>
      <c r="L180" s="363">
        <v>2005</v>
      </c>
      <c r="M180" s="363">
        <v>5188</v>
      </c>
      <c r="N180" s="363">
        <v>4184</v>
      </c>
      <c r="O180" s="363">
        <v>26</v>
      </c>
      <c r="P180" s="363">
        <v>16</v>
      </c>
      <c r="Q180" s="363">
        <v>56</v>
      </c>
      <c r="R180" s="363">
        <v>1</v>
      </c>
      <c r="S180" s="363">
        <v>-290</v>
      </c>
      <c r="U180" s="363">
        <v>251</v>
      </c>
      <c r="V180" s="363">
        <v>0</v>
      </c>
      <c r="W180" s="363">
        <v>0</v>
      </c>
      <c r="X180" s="363">
        <v>-541</v>
      </c>
      <c r="Y180" s="363">
        <v>0</v>
      </c>
      <c r="Z180" s="363">
        <v>0</v>
      </c>
      <c r="AA180" s="363">
        <v>0</v>
      </c>
      <c r="AB180" s="363">
        <v>-541</v>
      </c>
      <c r="AD180" s="363">
        <v>2284</v>
      </c>
      <c r="AG180" s="363">
        <v>-692</v>
      </c>
      <c r="AH180" s="349"/>
      <c r="AJ180" s="363">
        <v>980</v>
      </c>
      <c r="AL180" s="363">
        <v>2310</v>
      </c>
      <c r="AN180" s="349"/>
      <c r="AO180" s="454">
        <v>931</v>
      </c>
      <c r="AP180" s="478">
        <v>22.25</v>
      </c>
      <c r="AQ180" s="213"/>
      <c r="AS180" s="509">
        <v>1344</v>
      </c>
      <c r="AT180" s="349">
        <v>10727</v>
      </c>
      <c r="AU180" s="480">
        <v>-9383</v>
      </c>
      <c r="AV180" s="199">
        <v>2923</v>
      </c>
      <c r="AW180" s="199">
        <v>407</v>
      </c>
      <c r="AX180" s="199">
        <v>1812</v>
      </c>
      <c r="AY180" s="199">
        <v>5142</v>
      </c>
      <c r="AZ180" s="199">
        <v>4857</v>
      </c>
      <c r="BA180" s="181">
        <v>24</v>
      </c>
      <c r="BB180" s="511">
        <v>17</v>
      </c>
      <c r="BC180" s="181">
        <v>6</v>
      </c>
      <c r="BD180" s="181">
        <v>2</v>
      </c>
      <c r="BE180" s="199">
        <v>627</v>
      </c>
      <c r="BG180" s="183">
        <v>249</v>
      </c>
      <c r="BH180" s="183">
        <v>0</v>
      </c>
      <c r="BI180" s="183">
        <v>0</v>
      </c>
      <c r="BJ180" s="199">
        <v>378</v>
      </c>
      <c r="BK180" s="183">
        <v>0</v>
      </c>
      <c r="BL180" s="183">
        <v>0</v>
      </c>
      <c r="BM180" s="183">
        <v>0</v>
      </c>
      <c r="BN180" s="199">
        <v>378</v>
      </c>
      <c r="BP180" s="199">
        <v>2662</v>
      </c>
      <c r="BS180" s="211"/>
      <c r="BV180" s="514">
        <v>2310</v>
      </c>
      <c r="BX180" s="181">
        <v>4768</v>
      </c>
      <c r="BZ180" s="349"/>
      <c r="CB180" s="340"/>
      <c r="CC180" s="488">
        <v>22.25</v>
      </c>
      <c r="CD180" s="378"/>
      <c r="CE180" s="378"/>
      <c r="CF180" s="195"/>
      <c r="CG180" s="349"/>
      <c r="CI180" s="181">
        <v>3431</v>
      </c>
      <c r="CJ180" s="183">
        <v>0</v>
      </c>
      <c r="CK180" s="421">
        <v>4638.3569490676045</v>
      </c>
      <c r="CL180" s="494">
        <v>4972.8601829077679</v>
      </c>
      <c r="CM180" s="483">
        <v>-143.02227512562271</v>
      </c>
      <c r="CN180" s="483">
        <v>-102.89350312729275</v>
      </c>
      <c r="CO180" s="483">
        <v>-83.260365547017784</v>
      </c>
      <c r="CP180" s="433">
        <f t="shared" si="2"/>
        <v>-454.35694906760455</v>
      </c>
      <c r="CQ180" s="212"/>
      <c r="CR180" s="212">
        <v>-350</v>
      </c>
      <c r="CS180" s="212">
        <v>-1421</v>
      </c>
      <c r="CT180" s="183">
        <v>31</v>
      </c>
      <c r="CU180" s="183">
        <v>4</v>
      </c>
      <c r="CV180" s="485">
        <v>83</v>
      </c>
      <c r="CX180" s="422"/>
      <c r="CY180" s="475"/>
      <c r="CZ180" s="450"/>
      <c r="DA180" s="394"/>
      <c r="DB180" s="394"/>
      <c r="DC180" s="347"/>
      <c r="DD180" s="394"/>
      <c r="DE180" s="394"/>
      <c r="DF180" s="394"/>
      <c r="DG180" s="394"/>
      <c r="DH180" s="394"/>
    </row>
    <row r="181" spans="1:112" x14ac:dyDescent="0.25">
      <c r="A181" s="179">
        <v>854</v>
      </c>
      <c r="B181" s="181" t="s">
        <v>209</v>
      </c>
      <c r="C181" s="373">
        <v>3373</v>
      </c>
      <c r="D181" s="360">
        <v>21.25</v>
      </c>
      <c r="E181" s="213"/>
      <c r="G181" s="363">
        <v>3720</v>
      </c>
      <c r="H181" s="363">
        <v>30908</v>
      </c>
      <c r="I181" s="349"/>
      <c r="J181" s="363">
        <v>9545</v>
      </c>
      <c r="K181" s="363">
        <v>738</v>
      </c>
      <c r="L181" s="363">
        <v>874</v>
      </c>
      <c r="M181" s="363">
        <v>11157</v>
      </c>
      <c r="N181" s="363">
        <v>15023</v>
      </c>
      <c r="O181" s="363">
        <v>0</v>
      </c>
      <c r="P181" s="363">
        <v>19</v>
      </c>
      <c r="Q181" s="363">
        <v>161</v>
      </c>
      <c r="R181" s="363">
        <v>37</v>
      </c>
      <c r="S181" s="363">
        <v>-903</v>
      </c>
      <c r="U181" s="363">
        <v>1159</v>
      </c>
      <c r="V181" s="363">
        <v>0</v>
      </c>
      <c r="W181" s="363">
        <v>0</v>
      </c>
      <c r="X181" s="363">
        <v>-2062</v>
      </c>
      <c r="Y181" s="363">
        <v>52</v>
      </c>
      <c r="Z181" s="363">
        <v>0</v>
      </c>
      <c r="AA181" s="363">
        <v>0</v>
      </c>
      <c r="AB181" s="363">
        <v>-2010</v>
      </c>
      <c r="AD181" s="363">
        <v>-1000</v>
      </c>
      <c r="AG181" s="363">
        <v>-200</v>
      </c>
      <c r="AH181" s="349"/>
      <c r="AJ181" s="363">
        <v>72</v>
      </c>
      <c r="AL181" s="363">
        <v>5112</v>
      </c>
      <c r="AN181" s="349"/>
      <c r="AO181" s="454">
        <v>3304</v>
      </c>
      <c r="AP181" s="478">
        <v>21.25</v>
      </c>
      <c r="AQ181" s="213"/>
      <c r="AS181" s="509">
        <v>3664</v>
      </c>
      <c r="AT181" s="349">
        <v>30758</v>
      </c>
      <c r="AU181" s="480">
        <v>-27094</v>
      </c>
      <c r="AV181" s="199">
        <v>9936</v>
      </c>
      <c r="AW181" s="199">
        <v>789</v>
      </c>
      <c r="AX181" s="199">
        <v>810</v>
      </c>
      <c r="AY181" s="199">
        <v>11535</v>
      </c>
      <c r="AZ181" s="199">
        <v>17378</v>
      </c>
      <c r="BA181" s="181">
        <v>6</v>
      </c>
      <c r="BB181" s="511">
        <v>19</v>
      </c>
      <c r="BC181" s="181">
        <v>197</v>
      </c>
      <c r="BD181" s="181">
        <v>0</v>
      </c>
      <c r="BE181" s="199">
        <v>2003</v>
      </c>
      <c r="BG181" s="183">
        <v>1057</v>
      </c>
      <c r="BH181" s="183">
        <v>0</v>
      </c>
      <c r="BI181" s="183">
        <v>0</v>
      </c>
      <c r="BJ181" s="199">
        <v>946</v>
      </c>
      <c r="BK181" s="199">
        <v>52</v>
      </c>
      <c r="BL181" s="183">
        <v>0</v>
      </c>
      <c r="BM181" s="183">
        <v>0</v>
      </c>
      <c r="BN181" s="199">
        <v>998</v>
      </c>
      <c r="BP181" s="199">
        <v>-2</v>
      </c>
      <c r="BS181" s="211"/>
      <c r="BV181" s="514">
        <v>790</v>
      </c>
      <c r="BX181" s="181">
        <v>4644</v>
      </c>
      <c r="BZ181" s="349"/>
      <c r="CB181" s="340"/>
      <c r="CC181" s="488">
        <v>21.25</v>
      </c>
      <c r="CD181" s="378"/>
      <c r="CE181" s="378"/>
      <c r="CF181" s="195"/>
      <c r="CG181" s="349"/>
      <c r="CI181" s="181">
        <v>14081</v>
      </c>
      <c r="CJ181" s="183">
        <v>0</v>
      </c>
      <c r="CK181" s="421">
        <v>16441.471527332098</v>
      </c>
      <c r="CL181" s="494">
        <v>16857.531433719687</v>
      </c>
      <c r="CM181" s="483">
        <v>4787.8654062458099</v>
      </c>
      <c r="CN181" s="483">
        <v>4711.0669230707035</v>
      </c>
      <c r="CO181" s="483">
        <v>4647.1657966119901</v>
      </c>
      <c r="CP181" s="433">
        <f t="shared" si="2"/>
        <v>-1418.471527332098</v>
      </c>
      <c r="CQ181" s="212"/>
      <c r="CR181" s="212">
        <v>-5</v>
      </c>
      <c r="CS181" s="212">
        <v>-456</v>
      </c>
      <c r="CT181" s="183">
        <v>40</v>
      </c>
      <c r="CU181" s="183">
        <v>11</v>
      </c>
      <c r="CV181" s="485">
        <v>-536</v>
      </c>
      <c r="CX181" s="422"/>
      <c r="CY181" s="475"/>
      <c r="CZ181" s="450"/>
      <c r="DA181" s="394"/>
      <c r="DB181" s="394"/>
      <c r="DC181" s="347"/>
      <c r="DD181" s="394"/>
      <c r="DE181" s="394"/>
      <c r="DF181" s="394"/>
      <c r="DG181" s="394"/>
      <c r="DH181" s="394"/>
    </row>
    <row r="182" spans="1:112" x14ac:dyDescent="0.25">
      <c r="A182" s="179">
        <v>584</v>
      </c>
      <c r="B182" s="181" t="s">
        <v>210</v>
      </c>
      <c r="C182" s="373">
        <v>2759</v>
      </c>
      <c r="D182" s="360">
        <v>21.5</v>
      </c>
      <c r="E182" s="213"/>
      <c r="G182" s="363">
        <v>3338</v>
      </c>
      <c r="H182" s="363">
        <v>22516</v>
      </c>
      <c r="I182" s="349"/>
      <c r="J182" s="363">
        <v>6107</v>
      </c>
      <c r="K182" s="363">
        <v>646</v>
      </c>
      <c r="L182" s="363">
        <v>773</v>
      </c>
      <c r="M182" s="363">
        <v>7526</v>
      </c>
      <c r="N182" s="363">
        <v>12376</v>
      </c>
      <c r="O182" s="363">
        <v>305</v>
      </c>
      <c r="P182" s="363">
        <v>88</v>
      </c>
      <c r="Q182" s="363">
        <v>14</v>
      </c>
      <c r="R182" s="363">
        <v>-152</v>
      </c>
      <c r="S182" s="363">
        <v>1107</v>
      </c>
      <c r="U182" s="363">
        <v>1491</v>
      </c>
      <c r="V182" s="363">
        <v>0</v>
      </c>
      <c r="W182" s="363">
        <v>0</v>
      </c>
      <c r="X182" s="363">
        <v>-384</v>
      </c>
      <c r="Y182" s="363">
        <v>6</v>
      </c>
      <c r="Z182" s="363">
        <v>64</v>
      </c>
      <c r="AA182" s="363">
        <v>400</v>
      </c>
      <c r="AB182" s="363">
        <v>86</v>
      </c>
      <c r="AD182" s="363">
        <v>3155</v>
      </c>
      <c r="AG182" s="363">
        <v>-1250</v>
      </c>
      <c r="AH182" s="349"/>
      <c r="AJ182" s="363">
        <v>6470</v>
      </c>
      <c r="AL182" s="363">
        <v>18576</v>
      </c>
      <c r="AN182" s="349"/>
      <c r="AO182" s="454">
        <v>2706</v>
      </c>
      <c r="AP182" s="478">
        <v>21.5</v>
      </c>
      <c r="AQ182" s="213"/>
      <c r="AS182" s="509">
        <v>3040</v>
      </c>
      <c r="AT182" s="349">
        <v>21537</v>
      </c>
      <c r="AU182" s="480">
        <v>-18497</v>
      </c>
      <c r="AV182" s="199">
        <v>6414</v>
      </c>
      <c r="AW182" s="199">
        <v>720</v>
      </c>
      <c r="AX182" s="199">
        <v>753</v>
      </c>
      <c r="AY182" s="199">
        <v>7887</v>
      </c>
      <c r="AZ182" s="199">
        <v>13120</v>
      </c>
      <c r="BA182" s="181">
        <v>578</v>
      </c>
      <c r="BB182" s="511">
        <v>96</v>
      </c>
      <c r="BC182" s="181">
        <v>19</v>
      </c>
      <c r="BD182" s="181">
        <v>253</v>
      </c>
      <c r="BE182" s="199">
        <v>2758</v>
      </c>
      <c r="BG182" s="183">
        <v>1973</v>
      </c>
      <c r="BH182" s="183">
        <v>0</v>
      </c>
      <c r="BI182" s="183">
        <v>0</v>
      </c>
      <c r="BJ182" s="199">
        <v>785</v>
      </c>
      <c r="BK182" s="199">
        <v>6</v>
      </c>
      <c r="BL182" s="183">
        <v>50</v>
      </c>
      <c r="BM182" s="183">
        <v>0</v>
      </c>
      <c r="BN182" s="199">
        <v>841</v>
      </c>
      <c r="BP182" s="199">
        <v>3998</v>
      </c>
      <c r="BS182" s="211"/>
      <c r="BV182" s="514">
        <v>7270</v>
      </c>
      <c r="BX182" s="181">
        <v>18739</v>
      </c>
      <c r="BZ182" s="349"/>
      <c r="CB182" s="340"/>
      <c r="CC182" s="488">
        <v>21.5</v>
      </c>
      <c r="CD182" s="378"/>
      <c r="CE182" s="378"/>
      <c r="CF182" s="195"/>
      <c r="CG182" s="349"/>
      <c r="CI182" s="181">
        <v>10360</v>
      </c>
      <c r="CJ182" s="183">
        <v>0</v>
      </c>
      <c r="CK182" s="421">
        <v>12702.217875793338</v>
      </c>
      <c r="CL182" s="494">
        <v>13314.023263785721</v>
      </c>
      <c r="CM182" s="483">
        <v>4711.6240777998273</v>
      </c>
      <c r="CN182" s="483">
        <v>4912.9327202728045</v>
      </c>
      <c r="CO182" s="483">
        <v>4913.6674013336606</v>
      </c>
      <c r="CP182" s="433">
        <f t="shared" si="2"/>
        <v>-326.21787579333795</v>
      </c>
      <c r="CQ182" s="212"/>
      <c r="CR182" s="212">
        <v>-15</v>
      </c>
      <c r="CS182" s="212">
        <v>-2618</v>
      </c>
      <c r="CT182" s="183">
        <v>56</v>
      </c>
      <c r="CU182" s="183">
        <v>377</v>
      </c>
      <c r="CV182" s="485">
        <v>0</v>
      </c>
      <c r="CX182" s="422"/>
      <c r="CY182" s="475"/>
      <c r="CZ182" s="450"/>
      <c r="DA182" s="394"/>
      <c r="DB182" s="394"/>
      <c r="DC182" s="347"/>
      <c r="DD182" s="394"/>
      <c r="DE182" s="394"/>
      <c r="DF182" s="394"/>
      <c r="DG182" s="394"/>
      <c r="DH182" s="394"/>
    </row>
    <row r="183" spans="1:112" x14ac:dyDescent="0.25">
      <c r="A183" s="179">
        <v>588</v>
      </c>
      <c r="B183" s="181" t="s">
        <v>211</v>
      </c>
      <c r="C183" s="373">
        <v>1690</v>
      </c>
      <c r="D183" s="360">
        <v>21.5</v>
      </c>
      <c r="E183" s="213"/>
      <c r="G183" s="363">
        <v>1787</v>
      </c>
      <c r="H183" s="363">
        <v>14211</v>
      </c>
      <c r="I183" s="349"/>
      <c r="J183" s="363">
        <v>4212</v>
      </c>
      <c r="K183" s="363">
        <v>848</v>
      </c>
      <c r="L183" s="363">
        <v>834</v>
      </c>
      <c r="M183" s="363">
        <v>5894</v>
      </c>
      <c r="N183" s="363">
        <v>5956</v>
      </c>
      <c r="O183" s="363">
        <v>5</v>
      </c>
      <c r="P183" s="363">
        <v>34</v>
      </c>
      <c r="Q183" s="363">
        <v>92</v>
      </c>
      <c r="R183" s="363">
        <v>0</v>
      </c>
      <c r="S183" s="363">
        <v>-511</v>
      </c>
      <c r="U183" s="363">
        <v>691</v>
      </c>
      <c r="V183" s="363">
        <v>0</v>
      </c>
      <c r="W183" s="363">
        <v>0</v>
      </c>
      <c r="X183" s="363">
        <v>-1202</v>
      </c>
      <c r="Y183" s="363">
        <v>0</v>
      </c>
      <c r="Z183" s="363">
        <v>0</v>
      </c>
      <c r="AA183" s="363">
        <v>0</v>
      </c>
      <c r="AB183" s="363">
        <v>-1202</v>
      </c>
      <c r="AD183" s="363">
        <v>-1597</v>
      </c>
      <c r="AG183" s="363">
        <v>-75</v>
      </c>
      <c r="AH183" s="349"/>
      <c r="AJ183" s="363">
        <v>1185</v>
      </c>
      <c r="AL183" s="363">
        <v>7251</v>
      </c>
      <c r="AN183" s="349"/>
      <c r="AO183" s="454">
        <v>1654</v>
      </c>
      <c r="AP183" s="478">
        <v>21.5</v>
      </c>
      <c r="AQ183" s="213"/>
      <c r="AS183" s="509">
        <v>1537</v>
      </c>
      <c r="AT183" s="349">
        <v>14000</v>
      </c>
      <c r="AU183" s="480">
        <v>-12463</v>
      </c>
      <c r="AV183" s="199">
        <v>4418</v>
      </c>
      <c r="AW183" s="199">
        <v>984</v>
      </c>
      <c r="AX183" s="199">
        <v>816</v>
      </c>
      <c r="AY183" s="199">
        <v>6218</v>
      </c>
      <c r="AZ183" s="199">
        <v>6342</v>
      </c>
      <c r="BA183" s="181">
        <v>5</v>
      </c>
      <c r="BB183" s="511">
        <v>34</v>
      </c>
      <c r="BC183" s="181">
        <v>119</v>
      </c>
      <c r="BD183" s="181">
        <v>0</v>
      </c>
      <c r="BE183" s="199">
        <v>187</v>
      </c>
      <c r="BG183" s="183">
        <v>646</v>
      </c>
      <c r="BH183" s="183">
        <v>0</v>
      </c>
      <c r="BI183" s="199">
        <v>0</v>
      </c>
      <c r="BJ183" s="199">
        <v>-459</v>
      </c>
      <c r="BK183" s="199">
        <v>0</v>
      </c>
      <c r="BL183" s="183">
        <v>0</v>
      </c>
      <c r="BM183" s="183">
        <v>0</v>
      </c>
      <c r="BN183" s="199">
        <v>-459</v>
      </c>
      <c r="BP183" s="199">
        <v>-2056</v>
      </c>
      <c r="BS183" s="211"/>
      <c r="BV183" s="514">
        <v>1415</v>
      </c>
      <c r="BX183" s="181">
        <v>8072</v>
      </c>
      <c r="BZ183" s="349"/>
      <c r="CB183" s="340"/>
      <c r="CC183" s="488">
        <v>21.5</v>
      </c>
      <c r="CD183" s="378"/>
      <c r="CE183" s="378"/>
      <c r="CF183" s="195"/>
      <c r="CG183" s="349"/>
      <c r="CI183" s="181">
        <v>5420</v>
      </c>
      <c r="CJ183" s="183">
        <v>0</v>
      </c>
      <c r="CK183" s="421">
        <v>5929.9941480240159</v>
      </c>
      <c r="CL183" s="494">
        <v>6242.3719392934563</v>
      </c>
      <c r="CM183" s="483">
        <v>271.15915196988522</v>
      </c>
      <c r="CN183" s="483">
        <v>287.0965489449668</v>
      </c>
      <c r="CO183" s="483">
        <v>178.35029267323671</v>
      </c>
      <c r="CP183" s="433">
        <f t="shared" si="2"/>
        <v>26.005851975984115</v>
      </c>
      <c r="CQ183" s="212"/>
      <c r="CR183" s="212">
        <v>-17</v>
      </c>
      <c r="CS183" s="212">
        <v>-237</v>
      </c>
      <c r="CT183" s="183">
        <v>0</v>
      </c>
      <c r="CU183" s="183">
        <v>25</v>
      </c>
      <c r="CV183" s="485">
        <v>9</v>
      </c>
      <c r="CX183" s="422"/>
      <c r="CY183" s="475"/>
      <c r="CZ183" s="450"/>
      <c r="DA183" s="394"/>
      <c r="DB183" s="394"/>
      <c r="DC183" s="347"/>
      <c r="DD183" s="394"/>
      <c r="DE183" s="394"/>
      <c r="DF183" s="394"/>
      <c r="DG183" s="394"/>
      <c r="DH183" s="394"/>
    </row>
    <row r="184" spans="1:112" x14ac:dyDescent="0.25">
      <c r="A184" s="179">
        <v>592</v>
      </c>
      <c r="B184" s="181" t="s">
        <v>212</v>
      </c>
      <c r="C184" s="373">
        <v>3841</v>
      </c>
      <c r="D184" s="360">
        <v>21.75</v>
      </c>
      <c r="E184" s="213"/>
      <c r="G184" s="363">
        <v>3171</v>
      </c>
      <c r="H184" s="363">
        <v>27585</v>
      </c>
      <c r="I184" s="349"/>
      <c r="J184" s="363">
        <v>11213</v>
      </c>
      <c r="K184" s="363">
        <v>1193</v>
      </c>
      <c r="L184" s="363">
        <v>958</v>
      </c>
      <c r="M184" s="363">
        <v>13364</v>
      </c>
      <c r="N184" s="363">
        <v>10006</v>
      </c>
      <c r="O184" s="363">
        <v>0</v>
      </c>
      <c r="P184" s="363">
        <v>3</v>
      </c>
      <c r="Q184" s="363">
        <v>214</v>
      </c>
      <c r="R184" s="363">
        <v>2002</v>
      </c>
      <c r="S184" s="363">
        <v>-2835</v>
      </c>
      <c r="U184" s="363">
        <v>1017</v>
      </c>
      <c r="V184" s="363">
        <v>0</v>
      </c>
      <c r="W184" s="363">
        <v>0</v>
      </c>
      <c r="X184" s="363">
        <v>-3852</v>
      </c>
      <c r="Y184" s="363">
        <v>7</v>
      </c>
      <c r="Z184" s="363">
        <v>0</v>
      </c>
      <c r="AA184" s="363">
        <v>0</v>
      </c>
      <c r="AB184" s="363">
        <v>-3845</v>
      </c>
      <c r="AD184" s="363">
        <v>4056</v>
      </c>
      <c r="AG184" s="363">
        <v>-860</v>
      </c>
      <c r="AH184" s="349"/>
      <c r="AJ184" s="363">
        <v>5743</v>
      </c>
      <c r="AL184" s="363">
        <v>12720</v>
      </c>
      <c r="AN184" s="349"/>
      <c r="AO184" s="454">
        <v>3772</v>
      </c>
      <c r="AP184" s="478">
        <v>21.75</v>
      </c>
      <c r="AQ184" s="213"/>
      <c r="AS184" s="509">
        <v>3010</v>
      </c>
      <c r="AT184" s="349">
        <v>27515</v>
      </c>
      <c r="AU184" s="480">
        <v>-24505</v>
      </c>
      <c r="AV184" s="199">
        <v>11436</v>
      </c>
      <c r="AW184" s="199">
        <v>1362</v>
      </c>
      <c r="AX184" s="199">
        <v>976</v>
      </c>
      <c r="AY184" s="199">
        <v>13774</v>
      </c>
      <c r="AZ184" s="199">
        <v>12314</v>
      </c>
      <c r="BA184" s="181">
        <v>0</v>
      </c>
      <c r="BB184" s="511">
        <v>-10</v>
      </c>
      <c r="BC184" s="181">
        <v>209</v>
      </c>
      <c r="BD184" s="181">
        <v>99</v>
      </c>
      <c r="BE184" s="199">
        <v>1703</v>
      </c>
      <c r="BG184" s="183">
        <v>947</v>
      </c>
      <c r="BH184" s="183">
        <v>0</v>
      </c>
      <c r="BI184" s="183">
        <v>0</v>
      </c>
      <c r="BJ184" s="199">
        <v>756</v>
      </c>
      <c r="BK184" s="199">
        <v>7</v>
      </c>
      <c r="BL184" s="183">
        <v>0</v>
      </c>
      <c r="BM184" s="183">
        <v>0</v>
      </c>
      <c r="BN184" s="199">
        <v>763</v>
      </c>
      <c r="BP184" s="199">
        <v>4540</v>
      </c>
      <c r="BS184" s="211"/>
      <c r="BV184" s="514">
        <v>6817</v>
      </c>
      <c r="BX184" s="181">
        <v>14126</v>
      </c>
      <c r="BZ184" s="349"/>
      <c r="CB184" s="340"/>
      <c r="CC184" s="488">
        <v>21.75</v>
      </c>
      <c r="CD184" s="378"/>
      <c r="CE184" s="378"/>
      <c r="CF184" s="195"/>
      <c r="CG184" s="349"/>
      <c r="CI184" s="181">
        <v>9266</v>
      </c>
      <c r="CJ184" s="183">
        <v>0</v>
      </c>
      <c r="CK184" s="421">
        <v>10836.382694949665</v>
      </c>
      <c r="CL184" s="494">
        <v>10964.465274565775</v>
      </c>
      <c r="CM184" s="483">
        <v>3832.1553778574253</v>
      </c>
      <c r="CN184" s="483">
        <v>4037.6428920633571</v>
      </c>
      <c r="CO184" s="483">
        <v>3872.9956840885479</v>
      </c>
      <c r="CP184" s="433">
        <f t="shared" si="2"/>
        <v>-830.38269494966517</v>
      </c>
      <c r="CQ184" s="212"/>
      <c r="CR184" s="212">
        <v>-1945</v>
      </c>
      <c r="CS184" s="212">
        <v>-759</v>
      </c>
      <c r="CT184" s="183">
        <v>15</v>
      </c>
      <c r="CU184" s="183">
        <v>7</v>
      </c>
      <c r="CV184" s="485">
        <v>0</v>
      </c>
      <c r="CX184" s="422"/>
      <c r="CY184" s="475"/>
      <c r="CZ184" s="450"/>
      <c r="DA184" s="394"/>
      <c r="DB184" s="394"/>
      <c r="DC184" s="347"/>
      <c r="DD184" s="394"/>
      <c r="DE184" s="394"/>
      <c r="DF184" s="394"/>
      <c r="DG184" s="394"/>
      <c r="DH184" s="394"/>
    </row>
    <row r="185" spans="1:112" x14ac:dyDescent="0.25">
      <c r="A185" s="179">
        <v>593</v>
      </c>
      <c r="B185" s="181" t="s">
        <v>213</v>
      </c>
      <c r="C185" s="373">
        <v>17682</v>
      </c>
      <c r="D185" s="360">
        <v>22</v>
      </c>
      <c r="E185" s="213"/>
      <c r="G185" s="363">
        <v>19750</v>
      </c>
      <c r="H185" s="363">
        <v>131553</v>
      </c>
      <c r="I185" s="349"/>
      <c r="J185" s="363">
        <v>56665</v>
      </c>
      <c r="K185" s="363">
        <v>4560</v>
      </c>
      <c r="L185" s="363">
        <v>4156</v>
      </c>
      <c r="M185" s="363">
        <v>65381</v>
      </c>
      <c r="N185" s="363">
        <v>47399</v>
      </c>
      <c r="O185" s="363">
        <v>491</v>
      </c>
      <c r="P185" s="363">
        <v>445</v>
      </c>
      <c r="Q185" s="363">
        <v>783</v>
      </c>
      <c r="R185" s="363">
        <v>7</v>
      </c>
      <c r="S185" s="363">
        <v>1799</v>
      </c>
      <c r="U185" s="363">
        <v>4854</v>
      </c>
      <c r="V185" s="363">
        <v>0</v>
      </c>
      <c r="W185" s="363">
        <v>0</v>
      </c>
      <c r="X185" s="363">
        <v>-3055</v>
      </c>
      <c r="Y185" s="363">
        <v>14</v>
      </c>
      <c r="Z185" s="363">
        <v>0</v>
      </c>
      <c r="AA185" s="363">
        <v>0</v>
      </c>
      <c r="AB185" s="363">
        <v>-3041</v>
      </c>
      <c r="AD185" s="363">
        <v>3953</v>
      </c>
      <c r="AG185" s="363">
        <v>-13399</v>
      </c>
      <c r="AH185" s="349"/>
      <c r="AJ185" s="363">
        <v>96</v>
      </c>
      <c r="AL185" s="363">
        <v>80385</v>
      </c>
      <c r="AN185" s="349"/>
      <c r="AO185" s="454">
        <v>17375</v>
      </c>
      <c r="AP185" s="478">
        <v>22</v>
      </c>
      <c r="AQ185" s="213"/>
      <c r="AS185" s="509">
        <v>18669</v>
      </c>
      <c r="AT185" s="349">
        <v>130108</v>
      </c>
      <c r="AU185" s="480">
        <v>-111439</v>
      </c>
      <c r="AV185" s="199">
        <v>58225</v>
      </c>
      <c r="AW185" s="199">
        <v>5211</v>
      </c>
      <c r="AX185" s="199">
        <v>3961</v>
      </c>
      <c r="AY185" s="199">
        <v>67397</v>
      </c>
      <c r="AZ185" s="199">
        <v>54001</v>
      </c>
      <c r="BA185" s="181">
        <v>542</v>
      </c>
      <c r="BB185" s="511">
        <v>425</v>
      </c>
      <c r="BC185" s="181">
        <v>884</v>
      </c>
      <c r="BD185" s="181">
        <v>5</v>
      </c>
      <c r="BE185" s="199">
        <v>10955</v>
      </c>
      <c r="BG185" s="183">
        <v>5978</v>
      </c>
      <c r="BH185" s="183">
        <v>0</v>
      </c>
      <c r="BI185" s="183">
        <v>0</v>
      </c>
      <c r="BJ185" s="199">
        <v>4977</v>
      </c>
      <c r="BK185" s="183">
        <v>14</v>
      </c>
      <c r="BL185" s="183">
        <v>0</v>
      </c>
      <c r="BM185" s="183">
        <v>0</v>
      </c>
      <c r="BN185" s="199">
        <v>4991</v>
      </c>
      <c r="BP185" s="199">
        <v>8944</v>
      </c>
      <c r="BS185" s="211"/>
      <c r="BV185" s="514">
        <v>585</v>
      </c>
      <c r="BX185" s="181">
        <v>82488</v>
      </c>
      <c r="BZ185" s="349"/>
      <c r="CB185" s="340"/>
      <c r="CC185" s="488">
        <v>22</v>
      </c>
      <c r="CD185" s="378"/>
      <c r="CE185" s="378"/>
      <c r="CF185" s="195"/>
      <c r="CG185" s="349"/>
      <c r="CI185" s="181">
        <v>41062</v>
      </c>
      <c r="CJ185" s="183">
        <v>0</v>
      </c>
      <c r="CK185" s="421">
        <v>52230.603720684216</v>
      </c>
      <c r="CL185" s="494">
        <v>54950.133360432963</v>
      </c>
      <c r="CM185" s="483">
        <v>2125.350838100976</v>
      </c>
      <c r="CN185" s="483">
        <v>2039.4651488721984</v>
      </c>
      <c r="CO185" s="483">
        <v>1871.7638845823922</v>
      </c>
      <c r="CP185" s="433">
        <f t="shared" si="2"/>
        <v>-4831.6037206842157</v>
      </c>
      <c r="CQ185" s="212"/>
      <c r="CR185" s="212">
        <v>317</v>
      </c>
      <c r="CS185" s="212">
        <v>-14546</v>
      </c>
      <c r="CT185" s="183">
        <v>430</v>
      </c>
      <c r="CU185" s="183">
        <v>310</v>
      </c>
      <c r="CV185" s="485">
        <v>130</v>
      </c>
      <c r="CX185" s="422"/>
      <c r="CY185" s="475"/>
      <c r="CZ185" s="450"/>
      <c r="DA185" s="394"/>
      <c r="DB185" s="394"/>
      <c r="DC185" s="347"/>
      <c r="DD185" s="394"/>
      <c r="DE185" s="394"/>
      <c r="DF185" s="394"/>
      <c r="DG185" s="394"/>
      <c r="DH185" s="394"/>
    </row>
    <row r="186" spans="1:112" x14ac:dyDescent="0.25">
      <c r="A186" s="179">
        <v>595</v>
      </c>
      <c r="B186" s="181" t="s">
        <v>214</v>
      </c>
      <c r="C186" s="373">
        <v>4391</v>
      </c>
      <c r="D186" s="360">
        <v>21.75</v>
      </c>
      <c r="E186" s="213"/>
      <c r="G186" s="363">
        <v>4959</v>
      </c>
      <c r="H186" s="363">
        <v>38008</v>
      </c>
      <c r="I186" s="349"/>
      <c r="J186" s="363">
        <v>11076</v>
      </c>
      <c r="K186" s="363">
        <v>1519</v>
      </c>
      <c r="L186" s="363">
        <v>1179</v>
      </c>
      <c r="M186" s="363">
        <v>13774</v>
      </c>
      <c r="N186" s="363">
        <v>20028</v>
      </c>
      <c r="O186" s="363">
        <v>39</v>
      </c>
      <c r="P186" s="363">
        <v>118</v>
      </c>
      <c r="Q186" s="363">
        <v>635</v>
      </c>
      <c r="R186" s="363">
        <v>92</v>
      </c>
      <c r="S186" s="363">
        <v>1217</v>
      </c>
      <c r="U186" s="363">
        <v>1523</v>
      </c>
      <c r="V186" s="363">
        <v>0</v>
      </c>
      <c r="W186" s="363">
        <v>0</v>
      </c>
      <c r="X186" s="363">
        <v>-306</v>
      </c>
      <c r="Y186" s="363">
        <v>0</v>
      </c>
      <c r="Z186" s="363">
        <v>0</v>
      </c>
      <c r="AA186" s="363">
        <v>0</v>
      </c>
      <c r="AB186" s="363">
        <v>-306</v>
      </c>
      <c r="AD186" s="363">
        <v>-1306</v>
      </c>
      <c r="AG186" s="363">
        <v>-809</v>
      </c>
      <c r="AH186" s="349"/>
      <c r="AJ186" s="363">
        <v>4214</v>
      </c>
      <c r="AL186" s="363">
        <v>14948</v>
      </c>
      <c r="AN186" s="349"/>
      <c r="AO186" s="454">
        <v>4321</v>
      </c>
      <c r="AP186" s="478">
        <v>21.75</v>
      </c>
      <c r="AQ186" s="213"/>
      <c r="AS186" s="509">
        <v>5305</v>
      </c>
      <c r="AT186" s="349">
        <v>37550</v>
      </c>
      <c r="AU186" s="480">
        <v>-32245</v>
      </c>
      <c r="AV186" s="199">
        <v>10716</v>
      </c>
      <c r="AW186" s="199">
        <v>1820</v>
      </c>
      <c r="AX186" s="199">
        <v>1077</v>
      </c>
      <c r="AY186" s="199">
        <v>13613</v>
      </c>
      <c r="AZ186" s="199">
        <v>22413</v>
      </c>
      <c r="BA186" s="181">
        <v>3</v>
      </c>
      <c r="BB186" s="511">
        <v>105</v>
      </c>
      <c r="BC186" s="181">
        <v>529</v>
      </c>
      <c r="BD186" s="181">
        <v>202</v>
      </c>
      <c r="BE186" s="199">
        <v>4006</v>
      </c>
      <c r="BG186" s="183">
        <v>1819</v>
      </c>
      <c r="BH186" s="183">
        <v>0</v>
      </c>
      <c r="BI186" s="183">
        <v>0</v>
      </c>
      <c r="BJ186" s="199">
        <v>2187</v>
      </c>
      <c r="BK186" s="199">
        <v>0</v>
      </c>
      <c r="BL186" s="183">
        <v>0</v>
      </c>
      <c r="BM186" s="183">
        <v>0</v>
      </c>
      <c r="BN186" s="199">
        <v>2187</v>
      </c>
      <c r="BP186" s="199">
        <v>881</v>
      </c>
      <c r="BS186" s="211"/>
      <c r="BV186" s="514">
        <v>6663</v>
      </c>
      <c r="BX186" s="181">
        <v>13896</v>
      </c>
      <c r="BZ186" s="349"/>
      <c r="CB186" s="340"/>
      <c r="CC186" s="488">
        <v>21.75</v>
      </c>
      <c r="CD186" s="378"/>
      <c r="CE186" s="378"/>
      <c r="CF186" s="195"/>
      <c r="CG186" s="349"/>
      <c r="CI186" s="181">
        <v>17265</v>
      </c>
      <c r="CJ186" s="183">
        <v>0</v>
      </c>
      <c r="CK186" s="421">
        <v>21450.200734529382</v>
      </c>
      <c r="CL186" s="494">
        <v>22592.329015262891</v>
      </c>
      <c r="CM186" s="483">
        <v>5258.2974120210629</v>
      </c>
      <c r="CN186" s="483">
        <v>5290.7900441357206</v>
      </c>
      <c r="CO186" s="483">
        <v>5084.2498685081537</v>
      </c>
      <c r="CP186" s="433">
        <f t="shared" si="2"/>
        <v>-1422.2007345293823</v>
      </c>
      <c r="CQ186" s="212"/>
      <c r="CR186" s="212">
        <v>73</v>
      </c>
      <c r="CS186" s="212">
        <v>-473</v>
      </c>
      <c r="CT186" s="183">
        <v>15</v>
      </c>
      <c r="CU186" s="183">
        <v>2</v>
      </c>
      <c r="CV186" s="485">
        <v>376</v>
      </c>
      <c r="CX186" s="422"/>
      <c r="CY186" s="475"/>
      <c r="CZ186" s="450"/>
      <c r="DA186" s="394"/>
      <c r="DB186" s="394"/>
      <c r="DC186" s="347"/>
      <c r="DD186" s="394"/>
      <c r="DE186" s="394"/>
      <c r="DF186" s="394"/>
      <c r="DG186" s="394"/>
      <c r="DH186" s="394"/>
    </row>
    <row r="187" spans="1:112" x14ac:dyDescent="0.25">
      <c r="A187" s="179">
        <v>598</v>
      </c>
      <c r="B187" s="181" t="s">
        <v>215</v>
      </c>
      <c r="C187" s="373">
        <v>19208</v>
      </c>
      <c r="D187" s="360">
        <v>21.25</v>
      </c>
      <c r="E187" s="213"/>
      <c r="G187" s="363">
        <v>93090</v>
      </c>
      <c r="H187" s="363">
        <v>215172</v>
      </c>
      <c r="I187" s="349"/>
      <c r="J187" s="363">
        <v>67487</v>
      </c>
      <c r="K187" s="363">
        <v>6588</v>
      </c>
      <c r="L187" s="363">
        <v>5921</v>
      </c>
      <c r="M187" s="363">
        <v>79996</v>
      </c>
      <c r="N187" s="363">
        <v>40530</v>
      </c>
      <c r="O187" s="363">
        <v>169</v>
      </c>
      <c r="P187" s="363">
        <v>226</v>
      </c>
      <c r="Q187" s="363">
        <v>1105</v>
      </c>
      <c r="R187" s="363">
        <v>89</v>
      </c>
      <c r="S187" s="363">
        <v>-597</v>
      </c>
      <c r="U187" s="363">
        <v>7516</v>
      </c>
      <c r="V187" s="363">
        <v>0</v>
      </c>
      <c r="W187" s="363">
        <v>0</v>
      </c>
      <c r="X187" s="363">
        <v>-8113</v>
      </c>
      <c r="Y187" s="363">
        <v>0</v>
      </c>
      <c r="Z187" s="363">
        <v>0</v>
      </c>
      <c r="AA187" s="363">
        <v>50</v>
      </c>
      <c r="AB187" s="363">
        <v>-8063</v>
      </c>
      <c r="AD187" s="363">
        <v>63500</v>
      </c>
      <c r="AG187" s="363">
        <v>-8814</v>
      </c>
      <c r="AH187" s="349"/>
      <c r="AJ187" s="363">
        <v>1591</v>
      </c>
      <c r="AL187" s="363">
        <v>69650</v>
      </c>
      <c r="AN187" s="349"/>
      <c r="AO187" s="454">
        <v>19066</v>
      </c>
      <c r="AP187" s="478">
        <v>21.25</v>
      </c>
      <c r="AQ187" s="213"/>
      <c r="AS187" s="509">
        <v>92904</v>
      </c>
      <c r="AT187" s="349">
        <v>218360</v>
      </c>
      <c r="AU187" s="480">
        <v>-125456</v>
      </c>
      <c r="AV187" s="199">
        <v>69956</v>
      </c>
      <c r="AW187" s="199">
        <v>6912</v>
      </c>
      <c r="AX187" s="199">
        <v>5515</v>
      </c>
      <c r="AY187" s="199">
        <v>82383</v>
      </c>
      <c r="AZ187" s="199">
        <v>48972</v>
      </c>
      <c r="BA187" s="181">
        <v>244</v>
      </c>
      <c r="BB187" s="511">
        <v>237</v>
      </c>
      <c r="BC187" s="181">
        <v>1078</v>
      </c>
      <c r="BD187" s="181">
        <v>95</v>
      </c>
      <c r="BE187" s="199">
        <v>6889</v>
      </c>
      <c r="BG187" s="183">
        <v>6802</v>
      </c>
      <c r="BH187" s="183">
        <v>0</v>
      </c>
      <c r="BI187" s="199">
        <v>0</v>
      </c>
      <c r="BJ187" s="199">
        <v>87</v>
      </c>
      <c r="BK187" s="183">
        <v>0</v>
      </c>
      <c r="BL187" s="183">
        <v>0</v>
      </c>
      <c r="BM187" s="183">
        <v>0</v>
      </c>
      <c r="BN187" s="199">
        <v>87</v>
      </c>
      <c r="BP187" s="199">
        <v>63588</v>
      </c>
      <c r="BS187" s="211"/>
      <c r="BV187" s="514">
        <v>2224</v>
      </c>
      <c r="BX187" s="181">
        <v>74900</v>
      </c>
      <c r="BZ187" s="349"/>
      <c r="CB187" s="340"/>
      <c r="CC187" s="488">
        <v>21.25</v>
      </c>
      <c r="CD187" s="378"/>
      <c r="CE187" s="378"/>
      <c r="CF187" s="195"/>
      <c r="CG187" s="349"/>
      <c r="CI187" s="181">
        <v>33518</v>
      </c>
      <c r="CJ187" s="183">
        <v>0</v>
      </c>
      <c r="CK187" s="421">
        <v>45063.038650888651</v>
      </c>
      <c r="CL187" s="494">
        <v>49132.998330119117</v>
      </c>
      <c r="CM187" s="483">
        <v>8687.836904408101</v>
      </c>
      <c r="CN187" s="483">
        <v>9496.4973052468649</v>
      </c>
      <c r="CO187" s="483">
        <v>10093.680250740172</v>
      </c>
      <c r="CP187" s="433">
        <f t="shared" si="2"/>
        <v>-4533.0386508886513</v>
      </c>
      <c r="CQ187" s="212"/>
      <c r="CR187" s="212">
        <v>-241</v>
      </c>
      <c r="CS187" s="212">
        <v>-8779</v>
      </c>
      <c r="CT187" s="183">
        <v>649</v>
      </c>
      <c r="CU187" s="183">
        <v>748</v>
      </c>
      <c r="CV187" s="485">
        <v>-15</v>
      </c>
      <c r="CX187" s="422"/>
      <c r="CY187" s="475"/>
      <c r="CZ187" s="450"/>
      <c r="DA187" s="394"/>
      <c r="DB187" s="394"/>
      <c r="DC187" s="347"/>
      <c r="DD187" s="394"/>
      <c r="DE187" s="394"/>
      <c r="DF187" s="394"/>
      <c r="DG187" s="394"/>
      <c r="DH187" s="394"/>
    </row>
    <row r="188" spans="1:112" x14ac:dyDescent="0.25">
      <c r="A188" s="179">
        <v>601</v>
      </c>
      <c r="B188" s="181" t="s">
        <v>216</v>
      </c>
      <c r="C188" s="373">
        <v>4032</v>
      </c>
      <c r="D188" s="360">
        <v>21</v>
      </c>
      <c r="E188" s="213"/>
      <c r="G188" s="363">
        <v>6509</v>
      </c>
      <c r="H188" s="363">
        <v>35500</v>
      </c>
      <c r="I188" s="349"/>
      <c r="J188" s="363">
        <v>9737</v>
      </c>
      <c r="K188" s="363">
        <v>1621</v>
      </c>
      <c r="L188" s="363">
        <v>951</v>
      </c>
      <c r="M188" s="363">
        <v>12309</v>
      </c>
      <c r="N188" s="363">
        <v>16715</v>
      </c>
      <c r="O188" s="363">
        <v>311</v>
      </c>
      <c r="P188" s="363">
        <v>79</v>
      </c>
      <c r="Q188" s="363">
        <v>51</v>
      </c>
      <c r="R188" s="363">
        <v>35</v>
      </c>
      <c r="S188" s="363">
        <v>281</v>
      </c>
      <c r="U188" s="363">
        <v>1721</v>
      </c>
      <c r="V188" s="363">
        <v>224</v>
      </c>
      <c r="W188" s="363">
        <v>0</v>
      </c>
      <c r="X188" s="363">
        <v>-1216</v>
      </c>
      <c r="Y188" s="363">
        <v>92</v>
      </c>
      <c r="Z188" s="363">
        <v>0</v>
      </c>
      <c r="AA188" s="363">
        <v>0</v>
      </c>
      <c r="AB188" s="363">
        <v>-1124</v>
      </c>
      <c r="AD188" s="363">
        <v>10316</v>
      </c>
      <c r="AG188" s="363">
        <v>-1657</v>
      </c>
      <c r="AH188" s="349"/>
      <c r="AJ188" s="363">
        <v>8996</v>
      </c>
      <c r="AL188" s="363">
        <v>16975</v>
      </c>
      <c r="AN188" s="349"/>
      <c r="AO188" s="454">
        <v>3931</v>
      </c>
      <c r="AP188" s="478">
        <v>21</v>
      </c>
      <c r="AQ188" s="213"/>
      <c r="AS188" s="509">
        <v>6367</v>
      </c>
      <c r="AT188" s="349">
        <v>34818</v>
      </c>
      <c r="AU188" s="480">
        <v>-28451</v>
      </c>
      <c r="AV188" s="199">
        <v>9703</v>
      </c>
      <c r="AW188" s="199">
        <v>1868</v>
      </c>
      <c r="AX188" s="199">
        <v>856</v>
      </c>
      <c r="AY188" s="199">
        <v>12427</v>
      </c>
      <c r="AZ188" s="199">
        <v>18399</v>
      </c>
      <c r="BA188" s="181">
        <v>156</v>
      </c>
      <c r="BB188" s="511">
        <v>102</v>
      </c>
      <c r="BC188" s="181">
        <v>48</v>
      </c>
      <c r="BD188" s="181">
        <v>36</v>
      </c>
      <c r="BE188" s="199">
        <v>2441</v>
      </c>
      <c r="BG188" s="183">
        <v>1732</v>
      </c>
      <c r="BH188" s="199">
        <v>121</v>
      </c>
      <c r="BI188" s="199">
        <v>4564</v>
      </c>
      <c r="BJ188" s="199">
        <v>-3734</v>
      </c>
      <c r="BK188" s="183">
        <v>293</v>
      </c>
      <c r="BL188" s="183">
        <v>0</v>
      </c>
      <c r="BM188" s="183">
        <v>0</v>
      </c>
      <c r="BN188" s="199">
        <v>-3441</v>
      </c>
      <c r="BP188" s="199">
        <v>6877</v>
      </c>
      <c r="BS188" s="211"/>
      <c r="BV188" s="514">
        <v>11029</v>
      </c>
      <c r="BX188" s="181">
        <v>21456</v>
      </c>
      <c r="BZ188" s="349"/>
      <c r="CB188" s="340"/>
      <c r="CC188" s="488">
        <v>21</v>
      </c>
      <c r="CD188" s="378"/>
      <c r="CE188" s="378"/>
      <c r="CF188" s="195"/>
      <c r="CG188" s="349"/>
      <c r="CH188" s="347"/>
      <c r="CI188" s="181">
        <v>15100</v>
      </c>
      <c r="CJ188" s="183">
        <v>0</v>
      </c>
      <c r="CK188" s="421">
        <v>18155.79306187695</v>
      </c>
      <c r="CL188" s="494">
        <v>19107.747727055408</v>
      </c>
      <c r="CM188" s="483">
        <v>6690.2983550696363</v>
      </c>
      <c r="CN188" s="483">
        <v>6585.9109017243973</v>
      </c>
      <c r="CO188" s="483">
        <v>6347.1729879791283</v>
      </c>
      <c r="CP188" s="433">
        <f t="shared" si="2"/>
        <v>-1440.7930618769497</v>
      </c>
      <c r="CQ188" s="212"/>
      <c r="CR188" s="212">
        <v>-37</v>
      </c>
      <c r="CS188" s="212">
        <v>-1191</v>
      </c>
      <c r="CT188" s="183">
        <v>25</v>
      </c>
      <c r="CU188" s="183">
        <v>113</v>
      </c>
      <c r="CV188" s="485">
        <v>500</v>
      </c>
      <c r="CX188" s="422"/>
      <c r="CY188" s="475"/>
      <c r="CZ188" s="450"/>
      <c r="DA188" s="394"/>
      <c r="DB188" s="394"/>
      <c r="DC188" s="347"/>
      <c r="DD188" s="394"/>
      <c r="DE188" s="394"/>
      <c r="DF188" s="394"/>
      <c r="DG188" s="394"/>
      <c r="DH188" s="394"/>
    </row>
    <row r="189" spans="1:112" x14ac:dyDescent="0.25">
      <c r="A189" s="179">
        <v>604</v>
      </c>
      <c r="B189" s="181" t="s">
        <v>217</v>
      </c>
      <c r="C189" s="373">
        <v>19623</v>
      </c>
      <c r="D189" s="360">
        <v>20</v>
      </c>
      <c r="E189" s="213"/>
      <c r="G189" s="363">
        <v>37346</v>
      </c>
      <c r="H189" s="363">
        <v>133522</v>
      </c>
      <c r="I189" s="349"/>
      <c r="J189" s="363">
        <v>80907</v>
      </c>
      <c r="K189" s="363">
        <v>4025</v>
      </c>
      <c r="L189" s="363">
        <v>5319</v>
      </c>
      <c r="M189" s="363">
        <v>90251</v>
      </c>
      <c r="N189" s="363">
        <v>12551</v>
      </c>
      <c r="O189" s="363">
        <v>0</v>
      </c>
      <c r="P189" s="363">
        <v>300</v>
      </c>
      <c r="Q189" s="363">
        <v>547</v>
      </c>
      <c r="R189" s="363">
        <v>100</v>
      </c>
      <c r="S189" s="363">
        <v>6773</v>
      </c>
      <c r="U189" s="363">
        <v>7941</v>
      </c>
      <c r="V189" s="363">
        <v>0</v>
      </c>
      <c r="W189" s="363">
        <v>0</v>
      </c>
      <c r="X189" s="363">
        <v>-1168</v>
      </c>
      <c r="Y189" s="363">
        <v>-12140</v>
      </c>
      <c r="Z189" s="363">
        <v>12400</v>
      </c>
      <c r="AA189" s="363">
        <v>0</v>
      </c>
      <c r="AB189" s="363">
        <v>-908</v>
      </c>
      <c r="AD189" s="363">
        <v>43526</v>
      </c>
      <c r="AG189" s="363">
        <v>-8973</v>
      </c>
      <c r="AH189" s="349"/>
      <c r="AJ189" s="363">
        <v>4097</v>
      </c>
      <c r="AL189" s="363">
        <v>54775</v>
      </c>
      <c r="AN189" s="349"/>
      <c r="AO189" s="454">
        <v>19803</v>
      </c>
      <c r="AP189" s="478">
        <v>20.5</v>
      </c>
      <c r="AQ189" s="213"/>
      <c r="AS189" s="509">
        <v>33973</v>
      </c>
      <c r="AT189" s="349">
        <v>136979</v>
      </c>
      <c r="AU189" s="480">
        <v>-103006</v>
      </c>
      <c r="AV189" s="199">
        <v>86590</v>
      </c>
      <c r="AW189" s="199">
        <v>4492</v>
      </c>
      <c r="AX189" s="199">
        <v>5213</v>
      </c>
      <c r="AY189" s="199">
        <v>96295</v>
      </c>
      <c r="AZ189" s="199">
        <v>21282</v>
      </c>
      <c r="BA189" s="181">
        <v>0</v>
      </c>
      <c r="BB189" s="511">
        <v>658</v>
      </c>
      <c r="BC189" s="181">
        <v>456</v>
      </c>
      <c r="BD189" s="181">
        <v>1</v>
      </c>
      <c r="BE189" s="199">
        <v>14368</v>
      </c>
      <c r="BG189" s="183">
        <v>10976</v>
      </c>
      <c r="BH189" s="183">
        <v>0</v>
      </c>
      <c r="BI189" s="183">
        <v>0</v>
      </c>
      <c r="BJ189" s="199">
        <v>3392</v>
      </c>
      <c r="BK189" s="199">
        <v>620</v>
      </c>
      <c r="BL189" s="183">
        <v>0</v>
      </c>
      <c r="BM189" s="183">
        <v>0</v>
      </c>
      <c r="BN189" s="199">
        <v>4012</v>
      </c>
      <c r="BP189" s="199">
        <v>47538</v>
      </c>
      <c r="BS189" s="211"/>
      <c r="BV189" s="514">
        <v>8345</v>
      </c>
      <c r="BX189" s="181">
        <v>58125</v>
      </c>
      <c r="BZ189" s="349"/>
      <c r="CB189" s="340"/>
      <c r="CC189" s="488">
        <v>20.5</v>
      </c>
      <c r="CD189" s="378"/>
      <c r="CE189" s="378"/>
      <c r="CF189" s="195"/>
      <c r="CG189" s="349"/>
      <c r="CI189" s="181">
        <v>12842</v>
      </c>
      <c r="CJ189" s="183">
        <v>0</v>
      </c>
      <c r="CK189" s="421">
        <v>17025.530798131364</v>
      </c>
      <c r="CL189" s="494">
        <v>19597.324858418109</v>
      </c>
      <c r="CM189" s="483">
        <v>9786.1419354189657</v>
      </c>
      <c r="CN189" s="483">
        <v>10104.642030349294</v>
      </c>
      <c r="CO189" s="483">
        <v>10103.096238375445</v>
      </c>
      <c r="CP189" s="433">
        <f t="shared" si="2"/>
        <v>-4474.5307981313636</v>
      </c>
      <c r="CQ189" s="212"/>
      <c r="CR189" s="212">
        <v>-4725</v>
      </c>
      <c r="CS189" s="212">
        <v>-16926</v>
      </c>
      <c r="CT189" s="183">
        <v>20</v>
      </c>
      <c r="CU189" s="183">
        <v>4763</v>
      </c>
      <c r="CV189" s="485">
        <v>0</v>
      </c>
      <c r="CX189" s="422"/>
      <c r="CY189" s="475"/>
      <c r="CZ189" s="450"/>
      <c r="DA189" s="394"/>
      <c r="DB189" s="394"/>
      <c r="DC189" s="347"/>
      <c r="DD189" s="394"/>
      <c r="DE189" s="394"/>
      <c r="DF189" s="394"/>
      <c r="DG189" s="394"/>
      <c r="DH189" s="394"/>
    </row>
    <row r="190" spans="1:112" x14ac:dyDescent="0.25">
      <c r="A190" s="179">
        <v>607</v>
      </c>
      <c r="B190" s="181" t="s">
        <v>218</v>
      </c>
      <c r="C190" s="373">
        <v>4246</v>
      </c>
      <c r="D190" s="360">
        <v>20.25</v>
      </c>
      <c r="E190" s="213"/>
      <c r="G190" s="363">
        <v>4313</v>
      </c>
      <c r="H190" s="363">
        <v>29854</v>
      </c>
      <c r="I190" s="349"/>
      <c r="J190" s="363">
        <v>9566</v>
      </c>
      <c r="K190" s="363">
        <v>1198</v>
      </c>
      <c r="L190" s="363">
        <v>896</v>
      </c>
      <c r="M190" s="363">
        <v>11660</v>
      </c>
      <c r="N190" s="363">
        <v>14662</v>
      </c>
      <c r="O190" s="363">
        <v>10</v>
      </c>
      <c r="P190" s="363">
        <v>13</v>
      </c>
      <c r="Q190" s="363">
        <v>300</v>
      </c>
      <c r="R190" s="363">
        <v>4</v>
      </c>
      <c r="S190" s="363">
        <v>1074</v>
      </c>
      <c r="U190" s="363">
        <v>2520</v>
      </c>
      <c r="V190" s="363">
        <v>0</v>
      </c>
      <c r="W190" s="363">
        <v>0</v>
      </c>
      <c r="X190" s="363">
        <v>-1446</v>
      </c>
      <c r="Y190" s="363">
        <v>-1361</v>
      </c>
      <c r="Z190" s="363">
        <v>2606</v>
      </c>
      <c r="AA190" s="363">
        <v>0</v>
      </c>
      <c r="AB190" s="363">
        <v>-201</v>
      </c>
      <c r="AD190" s="363">
        <v>8108</v>
      </c>
      <c r="AG190" s="363">
        <v>-2658</v>
      </c>
      <c r="AH190" s="349"/>
      <c r="AJ190" s="363">
        <v>2801</v>
      </c>
      <c r="AL190" s="363">
        <v>450</v>
      </c>
      <c r="AN190" s="349"/>
      <c r="AO190" s="454">
        <v>4201</v>
      </c>
      <c r="AP190" s="478">
        <v>20.25</v>
      </c>
      <c r="AQ190" s="213"/>
      <c r="AS190" s="509">
        <v>4318</v>
      </c>
      <c r="AT190" s="349">
        <v>30645</v>
      </c>
      <c r="AU190" s="480">
        <v>-26327</v>
      </c>
      <c r="AV190" s="199">
        <v>9554</v>
      </c>
      <c r="AW190" s="199">
        <v>1389</v>
      </c>
      <c r="AX190" s="199">
        <v>827</v>
      </c>
      <c r="AY190" s="199">
        <v>11770</v>
      </c>
      <c r="AZ190" s="199">
        <v>15923</v>
      </c>
      <c r="BA190" s="181">
        <v>8</v>
      </c>
      <c r="BB190" s="511">
        <v>8</v>
      </c>
      <c r="BC190" s="181">
        <v>231</v>
      </c>
      <c r="BD190" s="181">
        <v>-45</v>
      </c>
      <c r="BE190" s="199">
        <v>1642</v>
      </c>
      <c r="BG190" s="183">
        <v>1551</v>
      </c>
      <c r="BH190" s="199">
        <v>0</v>
      </c>
      <c r="BI190" s="183">
        <v>0</v>
      </c>
      <c r="BJ190" s="199">
        <v>91</v>
      </c>
      <c r="BK190" s="183">
        <v>452</v>
      </c>
      <c r="BL190" s="183">
        <v>-321</v>
      </c>
      <c r="BM190" s="183">
        <v>0</v>
      </c>
      <c r="BN190" s="199">
        <v>222</v>
      </c>
      <c r="BP190" s="199">
        <v>8132</v>
      </c>
      <c r="BS190" s="211"/>
      <c r="BV190" s="514">
        <v>2045</v>
      </c>
      <c r="BX190" s="181">
        <v>150</v>
      </c>
      <c r="BZ190" s="349"/>
      <c r="CB190" s="340"/>
      <c r="CC190" s="488">
        <v>20.25</v>
      </c>
      <c r="CD190" s="378"/>
      <c r="CE190" s="378"/>
      <c r="CF190" s="195"/>
      <c r="CG190" s="349"/>
      <c r="CI190" s="181">
        <v>14119</v>
      </c>
      <c r="CJ190" s="183">
        <v>0</v>
      </c>
      <c r="CK190" s="421">
        <v>15903.624518602517</v>
      </c>
      <c r="CL190" s="494">
        <v>16370.838935607158</v>
      </c>
      <c r="CM190" s="483">
        <v>4584.886042858574</v>
      </c>
      <c r="CN190" s="483">
        <v>4349.5982407073734</v>
      </c>
      <c r="CO190" s="483">
        <v>4106.1914829233738</v>
      </c>
      <c r="CP190" s="433">
        <f t="shared" si="2"/>
        <v>-1241.6245186025171</v>
      </c>
      <c r="CQ190" s="212"/>
      <c r="CR190" s="212">
        <v>448</v>
      </c>
      <c r="CS190" s="212">
        <v>-2212</v>
      </c>
      <c r="CT190" s="183">
        <v>0</v>
      </c>
      <c r="CU190" s="183">
        <v>3</v>
      </c>
      <c r="CV190" s="485">
        <v>27</v>
      </c>
      <c r="CX190" s="422"/>
      <c r="CY190" s="475"/>
      <c r="CZ190" s="450"/>
      <c r="DA190" s="394"/>
      <c r="DB190" s="394"/>
      <c r="DC190" s="347"/>
      <c r="DD190" s="394"/>
      <c r="DE190" s="394"/>
      <c r="DF190" s="394"/>
      <c r="DG190" s="394"/>
      <c r="DH190" s="394"/>
    </row>
    <row r="191" spans="1:112" x14ac:dyDescent="0.25">
      <c r="A191" s="179">
        <v>608</v>
      </c>
      <c r="B191" s="181" t="s">
        <v>219</v>
      </c>
      <c r="C191" s="373">
        <v>2089</v>
      </c>
      <c r="D191" s="360">
        <v>21.5</v>
      </c>
      <c r="E191" s="213"/>
      <c r="G191" s="363">
        <v>1613</v>
      </c>
      <c r="H191" s="363">
        <v>15454</v>
      </c>
      <c r="I191" s="349"/>
      <c r="J191" s="363">
        <v>5910</v>
      </c>
      <c r="K191" s="363">
        <v>583</v>
      </c>
      <c r="L191" s="363">
        <v>574</v>
      </c>
      <c r="M191" s="363">
        <v>7067</v>
      </c>
      <c r="N191" s="363">
        <v>7392</v>
      </c>
      <c r="O191" s="363">
        <v>12</v>
      </c>
      <c r="P191" s="363">
        <v>16</v>
      </c>
      <c r="Q191" s="363">
        <v>10</v>
      </c>
      <c r="R191" s="363">
        <v>6</v>
      </c>
      <c r="S191" s="363">
        <v>618</v>
      </c>
      <c r="U191" s="363">
        <v>523</v>
      </c>
      <c r="V191" s="363">
        <v>0</v>
      </c>
      <c r="W191" s="363">
        <v>0</v>
      </c>
      <c r="X191" s="363">
        <v>95</v>
      </c>
      <c r="Y191" s="363">
        <v>0</v>
      </c>
      <c r="Z191" s="363">
        <v>0</v>
      </c>
      <c r="AA191" s="363">
        <v>0</v>
      </c>
      <c r="AB191" s="363">
        <v>95</v>
      </c>
      <c r="AD191" s="363">
        <v>2587</v>
      </c>
      <c r="AG191" s="363">
        <v>-729</v>
      </c>
      <c r="AH191" s="349"/>
      <c r="AJ191" s="363">
        <v>0</v>
      </c>
      <c r="AL191" s="363">
        <v>4222</v>
      </c>
      <c r="AN191" s="349"/>
      <c r="AO191" s="454">
        <v>2063</v>
      </c>
      <c r="AP191" s="478">
        <v>21.5</v>
      </c>
      <c r="AQ191" s="213"/>
      <c r="AS191" s="509">
        <v>1467</v>
      </c>
      <c r="AT191" s="349">
        <v>15413</v>
      </c>
      <c r="AU191" s="480">
        <v>-13946</v>
      </c>
      <c r="AV191" s="199">
        <v>5712</v>
      </c>
      <c r="AW191" s="199">
        <v>640</v>
      </c>
      <c r="AX191" s="199">
        <v>512</v>
      </c>
      <c r="AY191" s="199">
        <v>6864</v>
      </c>
      <c r="AZ191" s="199">
        <v>7740</v>
      </c>
      <c r="BA191" s="181">
        <v>6</v>
      </c>
      <c r="BB191" s="511">
        <v>21</v>
      </c>
      <c r="BC191" s="181">
        <v>7</v>
      </c>
      <c r="BD191" s="181">
        <v>6</v>
      </c>
      <c r="BE191" s="199">
        <v>644</v>
      </c>
      <c r="BG191" s="183">
        <v>536</v>
      </c>
      <c r="BH191" s="183">
        <v>0</v>
      </c>
      <c r="BI191" s="183">
        <v>0</v>
      </c>
      <c r="BJ191" s="199">
        <v>108</v>
      </c>
      <c r="BK191" s="183">
        <v>0</v>
      </c>
      <c r="BL191" s="183">
        <v>0</v>
      </c>
      <c r="BM191" s="183">
        <v>0</v>
      </c>
      <c r="BN191" s="199">
        <v>108</v>
      </c>
      <c r="BP191" s="199">
        <v>2696</v>
      </c>
      <c r="BS191" s="211"/>
      <c r="BV191" s="514">
        <v>0</v>
      </c>
      <c r="BX191" s="181">
        <v>4102</v>
      </c>
      <c r="BZ191" s="349"/>
      <c r="CB191" s="340"/>
      <c r="CC191" s="488">
        <v>21.5</v>
      </c>
      <c r="CD191" s="378"/>
      <c r="CE191" s="378"/>
      <c r="CF191" s="195"/>
      <c r="CG191" s="349"/>
      <c r="CI191" s="181">
        <v>7283</v>
      </c>
      <c r="CJ191" s="183">
        <v>0</v>
      </c>
      <c r="CK191" s="421">
        <v>7485.6959935040531</v>
      </c>
      <c r="CL191" s="494">
        <v>7702.9873355806585</v>
      </c>
      <c r="CM191" s="483">
        <v>1472.7043760140125</v>
      </c>
      <c r="CN191" s="483">
        <v>1490.999553659537</v>
      </c>
      <c r="CO191" s="483">
        <v>1407.1620315423997</v>
      </c>
      <c r="CP191" s="433">
        <f t="shared" si="2"/>
        <v>-93.695993504053149</v>
      </c>
      <c r="CQ191" s="212"/>
      <c r="CR191" s="212">
        <v>-39</v>
      </c>
      <c r="CS191" s="212">
        <v>-216</v>
      </c>
      <c r="CT191" s="183">
        <v>0</v>
      </c>
      <c r="CU191" s="183">
        <v>6</v>
      </c>
      <c r="CV191" s="485">
        <v>6</v>
      </c>
      <c r="CX191" s="422"/>
      <c r="CY191" s="475"/>
      <c r="CZ191" s="450"/>
      <c r="DA191" s="394"/>
      <c r="DB191" s="394"/>
      <c r="DC191" s="347"/>
      <c r="DD191" s="394"/>
      <c r="DE191" s="394"/>
      <c r="DF191" s="394"/>
      <c r="DG191" s="394"/>
      <c r="DH191" s="394"/>
    </row>
    <row r="192" spans="1:112" x14ac:dyDescent="0.25">
      <c r="A192" s="352">
        <v>609</v>
      </c>
      <c r="B192" s="349" t="s">
        <v>220</v>
      </c>
      <c r="C192" s="373">
        <v>83934</v>
      </c>
      <c r="D192" s="349">
        <v>20.25</v>
      </c>
      <c r="E192" s="429"/>
      <c r="F192" s="349"/>
      <c r="G192" s="363">
        <v>203401</v>
      </c>
      <c r="H192" s="363">
        <v>662980</v>
      </c>
      <c r="I192" s="349"/>
      <c r="J192" s="363">
        <v>273458</v>
      </c>
      <c r="K192" s="363">
        <v>17286</v>
      </c>
      <c r="L192" s="363">
        <v>23698</v>
      </c>
      <c r="M192" s="363">
        <v>314442</v>
      </c>
      <c r="N192" s="363">
        <v>141985</v>
      </c>
      <c r="O192" s="363">
        <v>4864</v>
      </c>
      <c r="P192" s="363">
        <v>2882</v>
      </c>
      <c r="Q192" s="363">
        <v>2763</v>
      </c>
      <c r="R192" s="363">
        <v>302</v>
      </c>
      <c r="S192" s="363">
        <v>1291</v>
      </c>
      <c r="T192" s="349"/>
      <c r="U192" s="363">
        <v>30194</v>
      </c>
      <c r="V192" s="363">
        <v>0</v>
      </c>
      <c r="W192" s="363">
        <v>0</v>
      </c>
      <c r="X192" s="363">
        <v>-28903</v>
      </c>
      <c r="Y192" s="363">
        <v>33</v>
      </c>
      <c r="Z192" s="363">
        <v>0</v>
      </c>
      <c r="AA192" s="363">
        <v>43</v>
      </c>
      <c r="AB192" s="363">
        <v>-28827</v>
      </c>
      <c r="AC192" s="349"/>
      <c r="AD192" s="363">
        <v>44460</v>
      </c>
      <c r="AE192" s="349"/>
      <c r="AF192" s="349"/>
      <c r="AG192" s="363">
        <v>-25046</v>
      </c>
      <c r="AH192" s="349"/>
      <c r="AI192" s="349"/>
      <c r="AJ192" s="363">
        <v>6161</v>
      </c>
      <c r="AK192" s="349"/>
      <c r="AL192" s="363">
        <v>271895</v>
      </c>
      <c r="AM192" s="349"/>
      <c r="AN192" s="349"/>
      <c r="AO192" s="462">
        <v>83684</v>
      </c>
      <c r="AP192" s="478">
        <v>20.25</v>
      </c>
      <c r="AQ192" s="429"/>
      <c r="AR192" s="349"/>
      <c r="AS192" s="509">
        <v>193330</v>
      </c>
      <c r="AT192" s="349">
        <v>664314</v>
      </c>
      <c r="AU192" s="363">
        <v>-470984</v>
      </c>
      <c r="AV192" s="349">
        <v>282016</v>
      </c>
      <c r="AW192" s="349">
        <v>17516</v>
      </c>
      <c r="AX192" s="349">
        <v>22582</v>
      </c>
      <c r="AY192" s="349">
        <v>322114</v>
      </c>
      <c r="AZ192" s="349">
        <v>176539</v>
      </c>
      <c r="BA192" s="349">
        <v>4738</v>
      </c>
      <c r="BB192" s="349">
        <v>2067</v>
      </c>
      <c r="BC192" s="349">
        <v>2332</v>
      </c>
      <c r="BD192" s="349">
        <v>386</v>
      </c>
      <c r="BE192" s="349">
        <v>32286</v>
      </c>
      <c r="BF192" s="349"/>
      <c r="BG192" s="349">
        <v>28101</v>
      </c>
      <c r="BH192" s="349">
        <v>0</v>
      </c>
      <c r="BI192" s="349">
        <v>0</v>
      </c>
      <c r="BJ192" s="349">
        <v>4185</v>
      </c>
      <c r="BK192" s="349">
        <v>33</v>
      </c>
      <c r="BL192" s="349">
        <v>0</v>
      </c>
      <c r="BM192" s="349">
        <v>-59</v>
      </c>
      <c r="BN192" s="349">
        <v>4159</v>
      </c>
      <c r="BO192" s="349"/>
      <c r="BP192" s="349">
        <v>48619</v>
      </c>
      <c r="BQ192" s="349"/>
      <c r="BR192" s="349"/>
      <c r="BS192" s="349"/>
      <c r="BT192" s="349"/>
      <c r="BU192" s="349"/>
      <c r="BV192" s="349">
        <v>33486</v>
      </c>
      <c r="BW192" s="349"/>
      <c r="BX192" s="349">
        <v>284881</v>
      </c>
      <c r="BY192" s="349"/>
      <c r="BZ192" s="349"/>
      <c r="CA192" s="349"/>
      <c r="CC192" s="488">
        <v>20.25</v>
      </c>
      <c r="CD192" s="378"/>
      <c r="CE192" s="379"/>
      <c r="CF192" s="349"/>
      <c r="CG192" s="349"/>
      <c r="CH192" s="349"/>
      <c r="CI192" s="349">
        <v>162805</v>
      </c>
      <c r="CJ192" s="349">
        <v>0</v>
      </c>
      <c r="CK192" s="491">
        <v>167373.7862218903</v>
      </c>
      <c r="CL192" s="494">
        <v>183106.30371091989</v>
      </c>
      <c r="CM192" s="475">
        <v>19800.225523859131</v>
      </c>
      <c r="CN192" s="475">
        <v>20171.923156381949</v>
      </c>
      <c r="CO192" s="475">
        <v>22117.954266267559</v>
      </c>
      <c r="CP192" s="433">
        <f t="shared" si="2"/>
        <v>-25388.786221890303</v>
      </c>
      <c r="CQ192" s="363"/>
      <c r="CR192" s="363">
        <v>-7113</v>
      </c>
      <c r="CS192" s="363">
        <v>-35832</v>
      </c>
      <c r="CT192" s="347">
        <v>1388</v>
      </c>
      <c r="CU192" s="347">
        <v>8894</v>
      </c>
      <c r="CV192" s="485">
        <v>2592</v>
      </c>
      <c r="CW192" s="357"/>
      <c r="CX192" s="347"/>
      <c r="CY192" s="475"/>
      <c r="CZ192" s="394"/>
      <c r="DA192" s="394"/>
      <c r="DB192" s="394"/>
      <c r="DC192" s="347"/>
      <c r="DD192" s="394"/>
      <c r="DE192" s="394"/>
      <c r="DF192" s="394"/>
      <c r="DG192" s="394"/>
      <c r="DH192" s="394"/>
    </row>
    <row r="193" spans="1:112" x14ac:dyDescent="0.25">
      <c r="A193" s="179">
        <v>611</v>
      </c>
      <c r="B193" s="181" t="s">
        <v>221</v>
      </c>
      <c r="C193" s="373">
        <v>5035</v>
      </c>
      <c r="D193" s="360">
        <v>20.5</v>
      </c>
      <c r="E193" s="213"/>
      <c r="G193" s="363">
        <v>2948</v>
      </c>
      <c r="H193" s="363">
        <v>27452</v>
      </c>
      <c r="I193" s="349"/>
      <c r="J193" s="363">
        <v>18196</v>
      </c>
      <c r="K193" s="363">
        <v>619</v>
      </c>
      <c r="L193" s="363">
        <v>1188</v>
      </c>
      <c r="M193" s="363">
        <v>20003</v>
      </c>
      <c r="N193" s="363">
        <v>5613</v>
      </c>
      <c r="O193" s="363">
        <v>32</v>
      </c>
      <c r="P193" s="363">
        <v>122</v>
      </c>
      <c r="Q193" s="363">
        <v>4</v>
      </c>
      <c r="R193" s="363">
        <v>6</v>
      </c>
      <c r="S193" s="363">
        <v>1020</v>
      </c>
      <c r="U193" s="363">
        <v>1667</v>
      </c>
      <c r="V193" s="363">
        <v>0</v>
      </c>
      <c r="W193" s="363">
        <v>0</v>
      </c>
      <c r="X193" s="363">
        <v>-647</v>
      </c>
      <c r="Y193" s="363">
        <v>0</v>
      </c>
      <c r="Z193" s="363">
        <v>0</v>
      </c>
      <c r="AA193" s="363">
        <v>0</v>
      </c>
      <c r="AB193" s="363">
        <v>-647</v>
      </c>
      <c r="AD193" s="363">
        <v>9241</v>
      </c>
      <c r="AG193" s="363">
        <v>-1565</v>
      </c>
      <c r="AH193" s="349"/>
      <c r="AJ193" s="363">
        <v>5401</v>
      </c>
      <c r="AL193" s="363">
        <v>11737</v>
      </c>
      <c r="AN193" s="349"/>
      <c r="AO193" s="454">
        <v>5070</v>
      </c>
      <c r="AP193" s="478">
        <v>20.5</v>
      </c>
      <c r="AQ193" s="213"/>
      <c r="AS193" s="509">
        <v>2857</v>
      </c>
      <c r="AT193" s="349">
        <v>28597</v>
      </c>
      <c r="AU193" s="480">
        <v>-25740</v>
      </c>
      <c r="AV193" s="199">
        <v>19524</v>
      </c>
      <c r="AW193" s="199">
        <v>600</v>
      </c>
      <c r="AX193" s="199">
        <v>1090</v>
      </c>
      <c r="AY193" s="199">
        <v>21214</v>
      </c>
      <c r="AZ193" s="199">
        <v>7654</v>
      </c>
      <c r="BA193" s="181">
        <v>0</v>
      </c>
      <c r="BB193" s="511">
        <v>91</v>
      </c>
      <c r="BC193" s="181">
        <v>45</v>
      </c>
      <c r="BD193" s="181">
        <v>1</v>
      </c>
      <c r="BE193" s="199">
        <v>3081</v>
      </c>
      <c r="BG193" s="183">
        <v>1876</v>
      </c>
      <c r="BH193" s="183">
        <v>0</v>
      </c>
      <c r="BI193" s="183">
        <v>0</v>
      </c>
      <c r="BJ193" s="199">
        <v>1205</v>
      </c>
      <c r="BK193" s="183">
        <v>0</v>
      </c>
      <c r="BL193" s="183">
        <v>0</v>
      </c>
      <c r="BM193" s="183">
        <v>0</v>
      </c>
      <c r="BN193" s="199">
        <v>1205</v>
      </c>
      <c r="BP193" s="199">
        <v>10447</v>
      </c>
      <c r="BS193" s="211"/>
      <c r="BV193" s="514">
        <v>5998</v>
      </c>
      <c r="BX193" s="181">
        <v>9477</v>
      </c>
      <c r="BZ193" s="349"/>
      <c r="CB193" s="340"/>
      <c r="CC193" s="488">
        <v>20.5</v>
      </c>
      <c r="CD193" s="378"/>
      <c r="CE193" s="378"/>
      <c r="CF193" s="195"/>
      <c r="CG193" s="349"/>
      <c r="CI193" s="181">
        <v>6500</v>
      </c>
      <c r="CJ193" s="183">
        <v>0</v>
      </c>
      <c r="CK193" s="421">
        <v>6223.1107314366145</v>
      </c>
      <c r="CL193" s="494">
        <v>5923.8487274533309</v>
      </c>
      <c r="CM193" s="483">
        <v>3644.9224180936062</v>
      </c>
      <c r="CN193" s="483">
        <v>3046.6514214452545</v>
      </c>
      <c r="CO193" s="483">
        <v>2790.3701927089651</v>
      </c>
      <c r="CP193" s="433">
        <f t="shared" si="2"/>
        <v>-610.11073143661451</v>
      </c>
      <c r="CQ193" s="212"/>
      <c r="CR193" s="212">
        <v>-207</v>
      </c>
      <c r="CS193" s="212">
        <v>-1189</v>
      </c>
      <c r="CT193" s="183">
        <v>56</v>
      </c>
      <c r="CU193" s="183">
        <v>232</v>
      </c>
      <c r="CV193" s="485">
        <v>0</v>
      </c>
      <c r="CX193" s="422"/>
      <c r="CY193" s="475"/>
      <c r="CZ193" s="450"/>
      <c r="DA193" s="394"/>
      <c r="DB193" s="394"/>
      <c r="DC193" s="347"/>
      <c r="DD193" s="394"/>
      <c r="DE193" s="394"/>
      <c r="DF193" s="394"/>
      <c r="DG193" s="394"/>
      <c r="DH193" s="394"/>
    </row>
    <row r="194" spans="1:112" x14ac:dyDescent="0.25">
      <c r="A194" s="179">
        <v>638</v>
      </c>
      <c r="B194" s="181" t="s">
        <v>222</v>
      </c>
      <c r="C194" s="373">
        <v>50380</v>
      </c>
      <c r="D194" s="360">
        <v>19.75</v>
      </c>
      <c r="E194" s="213"/>
      <c r="G194" s="363">
        <v>73247</v>
      </c>
      <c r="H194" s="363">
        <v>347488</v>
      </c>
      <c r="I194" s="349"/>
      <c r="J194" s="363">
        <v>193588</v>
      </c>
      <c r="K194" s="363">
        <v>32382</v>
      </c>
      <c r="L194" s="363">
        <v>16983</v>
      </c>
      <c r="M194" s="363">
        <v>242953</v>
      </c>
      <c r="N194" s="363">
        <v>54307</v>
      </c>
      <c r="O194" s="363">
        <v>46</v>
      </c>
      <c r="P194" s="363">
        <v>874</v>
      </c>
      <c r="Q194" s="363">
        <v>3153</v>
      </c>
      <c r="R194" s="363">
        <v>37</v>
      </c>
      <c r="S194" s="363">
        <v>25307</v>
      </c>
      <c r="U194" s="363">
        <v>26567</v>
      </c>
      <c r="V194" s="363">
        <v>0</v>
      </c>
      <c r="W194" s="363">
        <v>0</v>
      </c>
      <c r="X194" s="363">
        <v>-1260</v>
      </c>
      <c r="Y194" s="363">
        <v>410</v>
      </c>
      <c r="Z194" s="363">
        <v>-250</v>
      </c>
      <c r="AA194" s="363">
        <v>3183</v>
      </c>
      <c r="AB194" s="363">
        <v>2083</v>
      </c>
      <c r="AD194" s="363">
        <v>57264</v>
      </c>
      <c r="AG194" s="363">
        <v>-36785</v>
      </c>
      <c r="AH194" s="349"/>
      <c r="AJ194" s="363">
        <v>27408</v>
      </c>
      <c r="AL194" s="363">
        <v>171672</v>
      </c>
      <c r="AN194" s="349"/>
      <c r="AO194" s="454">
        <v>50619</v>
      </c>
      <c r="AP194" s="478">
        <v>19.75</v>
      </c>
      <c r="AQ194" s="213"/>
      <c r="AS194" s="509">
        <v>66025</v>
      </c>
      <c r="AT194" s="349">
        <v>346976</v>
      </c>
      <c r="AU194" s="480">
        <v>-280951</v>
      </c>
      <c r="AV194" s="199">
        <v>204259</v>
      </c>
      <c r="AW194" s="199">
        <v>37980</v>
      </c>
      <c r="AX194" s="199">
        <v>15679</v>
      </c>
      <c r="AY194" s="199">
        <v>257918</v>
      </c>
      <c r="AZ194" s="199">
        <v>76473</v>
      </c>
      <c r="BA194" s="181">
        <v>29</v>
      </c>
      <c r="BB194" s="511">
        <v>608</v>
      </c>
      <c r="BC194" s="181">
        <v>3445</v>
      </c>
      <c r="BD194" s="181">
        <v>9</v>
      </c>
      <c r="BE194" s="199">
        <v>56297</v>
      </c>
      <c r="BG194" s="183">
        <v>28323</v>
      </c>
      <c r="BH194" s="199">
        <v>0</v>
      </c>
      <c r="BI194" s="199">
        <v>759</v>
      </c>
      <c r="BJ194" s="199">
        <v>27215</v>
      </c>
      <c r="BK194" s="183">
        <v>-88</v>
      </c>
      <c r="BL194" s="199">
        <v>-488</v>
      </c>
      <c r="BM194" s="199">
        <v>-15035</v>
      </c>
      <c r="BN194" s="199">
        <v>11604</v>
      </c>
      <c r="BP194" s="199">
        <v>68867</v>
      </c>
      <c r="BS194" s="211"/>
      <c r="BV194" s="514">
        <v>48298</v>
      </c>
      <c r="BX194" s="181">
        <v>155280</v>
      </c>
      <c r="BZ194" s="349"/>
      <c r="CB194" s="340"/>
      <c r="CC194" s="488">
        <v>19.75</v>
      </c>
      <c r="CD194" s="378"/>
      <c r="CE194" s="378"/>
      <c r="CF194" s="195"/>
      <c r="CG194" s="349"/>
      <c r="CI194" s="181">
        <v>47509</v>
      </c>
      <c r="CJ194" s="183">
        <v>0</v>
      </c>
      <c r="CK194" s="421">
        <v>60294.394158628311</v>
      </c>
      <c r="CL194" s="494">
        <v>61921.927342498835</v>
      </c>
      <c r="CM194" s="483">
        <v>32299.624688746917</v>
      </c>
      <c r="CN194" s="483">
        <v>32646.723031764996</v>
      </c>
      <c r="CO194" s="483">
        <v>31648.06123765144</v>
      </c>
      <c r="CP194" s="433">
        <f t="shared" si="2"/>
        <v>-5987.3941586283108</v>
      </c>
      <c r="CQ194" s="212"/>
      <c r="CR194" s="212">
        <v>-5064</v>
      </c>
      <c r="CS194" s="212">
        <v>-22237</v>
      </c>
      <c r="CT194" s="183">
        <v>448</v>
      </c>
      <c r="CU194" s="183">
        <v>5857</v>
      </c>
      <c r="CV194" s="485">
        <v>-81</v>
      </c>
      <c r="CX194" s="422"/>
      <c r="CY194" s="475"/>
      <c r="CZ194" s="450"/>
      <c r="DA194" s="394"/>
      <c r="DB194" s="394"/>
      <c r="DC194" s="347"/>
      <c r="DD194" s="394"/>
      <c r="DE194" s="394"/>
      <c r="DF194" s="394"/>
      <c r="DG194" s="394"/>
      <c r="DH194" s="394"/>
    </row>
    <row r="195" spans="1:112" x14ac:dyDescent="0.25">
      <c r="A195" s="179">
        <v>614</v>
      </c>
      <c r="B195" s="181" t="s">
        <v>223</v>
      </c>
      <c r="C195" s="373">
        <v>3183</v>
      </c>
      <c r="D195" s="360">
        <v>21.75</v>
      </c>
      <c r="E195" s="213"/>
      <c r="G195" s="363">
        <v>7620</v>
      </c>
      <c r="H195" s="363">
        <v>33056</v>
      </c>
      <c r="I195" s="349"/>
      <c r="J195" s="363">
        <v>8013</v>
      </c>
      <c r="K195" s="363">
        <v>714</v>
      </c>
      <c r="L195" s="363">
        <v>1250</v>
      </c>
      <c r="M195" s="363">
        <v>9977</v>
      </c>
      <c r="N195" s="363">
        <v>16864</v>
      </c>
      <c r="O195" s="363">
        <v>9</v>
      </c>
      <c r="P195" s="363">
        <v>159</v>
      </c>
      <c r="Q195" s="363">
        <v>152</v>
      </c>
      <c r="R195" s="363">
        <v>53</v>
      </c>
      <c r="S195" s="363">
        <v>1354</v>
      </c>
      <c r="U195" s="363">
        <v>1111</v>
      </c>
      <c r="V195" s="363">
        <v>0</v>
      </c>
      <c r="W195" s="363">
        <v>0</v>
      </c>
      <c r="X195" s="363">
        <v>243</v>
      </c>
      <c r="Y195" s="363">
        <v>162</v>
      </c>
      <c r="Z195" s="363">
        <v>0</v>
      </c>
      <c r="AA195" s="363">
        <v>0</v>
      </c>
      <c r="AB195" s="363">
        <v>405</v>
      </c>
      <c r="AD195" s="363">
        <v>4611</v>
      </c>
      <c r="AG195" s="363">
        <v>-983</v>
      </c>
      <c r="AH195" s="349"/>
      <c r="AJ195" s="363">
        <v>7022</v>
      </c>
      <c r="AL195" s="363">
        <v>11152</v>
      </c>
      <c r="AN195" s="349"/>
      <c r="AO195" s="454">
        <v>3117</v>
      </c>
      <c r="AP195" s="478">
        <v>21.75</v>
      </c>
      <c r="AQ195" s="213"/>
      <c r="AS195" s="509">
        <v>7135</v>
      </c>
      <c r="AT195" s="349">
        <v>33794</v>
      </c>
      <c r="AU195" s="480">
        <v>-26659</v>
      </c>
      <c r="AV195" s="199">
        <v>8303</v>
      </c>
      <c r="AW195" s="199">
        <v>766</v>
      </c>
      <c r="AX195" s="199">
        <v>1145</v>
      </c>
      <c r="AY195" s="199">
        <v>10214</v>
      </c>
      <c r="AZ195" s="199">
        <v>18031</v>
      </c>
      <c r="BA195" s="181">
        <v>11</v>
      </c>
      <c r="BB195" s="511">
        <v>116</v>
      </c>
      <c r="BC195" s="181">
        <v>207</v>
      </c>
      <c r="BD195" s="181">
        <v>38</v>
      </c>
      <c r="BE195" s="199">
        <v>1650</v>
      </c>
      <c r="BG195" s="183">
        <v>1198</v>
      </c>
      <c r="BH195" s="183">
        <v>92</v>
      </c>
      <c r="BI195" s="183">
        <v>0</v>
      </c>
      <c r="BJ195" s="199">
        <v>544</v>
      </c>
      <c r="BK195" s="183">
        <v>134</v>
      </c>
      <c r="BL195" s="183">
        <v>0</v>
      </c>
      <c r="BM195" s="183">
        <v>0</v>
      </c>
      <c r="BN195" s="199">
        <v>678</v>
      </c>
      <c r="BP195" s="199">
        <v>5332</v>
      </c>
      <c r="BS195" s="211"/>
      <c r="BV195" s="514">
        <v>6508</v>
      </c>
      <c r="BX195" s="181">
        <v>10370</v>
      </c>
      <c r="BZ195" s="349"/>
      <c r="CB195" s="340"/>
      <c r="CC195" s="488">
        <v>21.75</v>
      </c>
      <c r="CD195" s="378"/>
      <c r="CE195" s="378"/>
      <c r="CF195" s="195"/>
      <c r="CG195" s="349"/>
      <c r="CI195" s="181">
        <v>14059</v>
      </c>
      <c r="CJ195" s="183">
        <v>0</v>
      </c>
      <c r="CK195" s="421">
        <v>18076.31968701171</v>
      </c>
      <c r="CL195" s="494">
        <v>18450.040197165843</v>
      </c>
      <c r="CM195" s="483">
        <v>2062.6210266693379</v>
      </c>
      <c r="CN195" s="483">
        <v>1973.2481940415416</v>
      </c>
      <c r="CO195" s="483">
        <v>1933.627814950753</v>
      </c>
      <c r="CP195" s="433">
        <f t="shared" ref="CP195:CP258" si="3">N195-CK195</f>
        <v>-1212.3196870117099</v>
      </c>
      <c r="CQ195" s="212"/>
      <c r="CR195" s="212">
        <v>0</v>
      </c>
      <c r="CS195" s="212">
        <v>-1159</v>
      </c>
      <c r="CT195" s="183">
        <v>138</v>
      </c>
      <c r="CU195" s="183">
        <v>6</v>
      </c>
      <c r="CV195" s="485">
        <v>0</v>
      </c>
      <c r="CX195" s="422"/>
      <c r="CY195" s="475"/>
      <c r="CZ195" s="450"/>
      <c r="DA195" s="394"/>
      <c r="DB195" s="394"/>
      <c r="DC195" s="347"/>
      <c r="DD195" s="394"/>
      <c r="DE195" s="394"/>
      <c r="DF195" s="394"/>
      <c r="DG195" s="394"/>
      <c r="DH195" s="394"/>
    </row>
    <row r="196" spans="1:112" x14ac:dyDescent="0.25">
      <c r="A196" s="179">
        <v>615</v>
      </c>
      <c r="B196" s="181" t="s">
        <v>224</v>
      </c>
      <c r="C196" s="373">
        <v>7873</v>
      </c>
      <c r="D196" s="360">
        <v>20.5</v>
      </c>
      <c r="E196" s="213"/>
      <c r="G196" s="363">
        <v>9913</v>
      </c>
      <c r="H196" s="363">
        <v>70437</v>
      </c>
      <c r="I196" s="349"/>
      <c r="J196" s="363">
        <v>18293</v>
      </c>
      <c r="K196" s="363">
        <v>2581</v>
      </c>
      <c r="L196" s="363">
        <v>2032</v>
      </c>
      <c r="M196" s="363">
        <v>22906</v>
      </c>
      <c r="N196" s="363">
        <v>36443</v>
      </c>
      <c r="O196" s="363">
        <v>299</v>
      </c>
      <c r="P196" s="363">
        <v>197</v>
      </c>
      <c r="Q196" s="363">
        <v>918</v>
      </c>
      <c r="R196" s="363">
        <v>229</v>
      </c>
      <c r="S196" s="363">
        <v>-384</v>
      </c>
      <c r="U196" s="363">
        <v>3646</v>
      </c>
      <c r="V196" s="363">
        <v>0</v>
      </c>
      <c r="W196" s="363">
        <v>0</v>
      </c>
      <c r="X196" s="363">
        <v>-4030</v>
      </c>
      <c r="Y196" s="363">
        <v>103</v>
      </c>
      <c r="Z196" s="363">
        <v>0</v>
      </c>
      <c r="AA196" s="363">
        <v>388</v>
      </c>
      <c r="AB196" s="363">
        <v>-3539</v>
      </c>
      <c r="AD196" s="363">
        <v>2559</v>
      </c>
      <c r="AG196" s="363">
        <v>-9721</v>
      </c>
      <c r="AH196" s="349"/>
      <c r="AJ196" s="363">
        <v>12995</v>
      </c>
      <c r="AL196" s="363">
        <v>32275</v>
      </c>
      <c r="AN196" s="349"/>
      <c r="AO196" s="454">
        <v>7779</v>
      </c>
      <c r="AP196" s="478">
        <v>20.5</v>
      </c>
      <c r="AQ196" s="213"/>
      <c r="AS196" s="509">
        <v>10697</v>
      </c>
      <c r="AT196" s="349">
        <v>70745</v>
      </c>
      <c r="AU196" s="480">
        <v>-60048</v>
      </c>
      <c r="AV196" s="199">
        <v>18230</v>
      </c>
      <c r="AW196" s="199">
        <v>2935</v>
      </c>
      <c r="AX196" s="199">
        <v>2088</v>
      </c>
      <c r="AY196" s="199">
        <v>23253</v>
      </c>
      <c r="AZ196" s="199">
        <v>40466</v>
      </c>
      <c r="BA196" s="181">
        <v>36</v>
      </c>
      <c r="BB196" s="511">
        <v>188</v>
      </c>
      <c r="BC196" s="181">
        <v>1061</v>
      </c>
      <c r="BD196" s="181">
        <v>706</v>
      </c>
      <c r="BE196" s="199">
        <v>3874</v>
      </c>
      <c r="BG196" s="183">
        <v>3688</v>
      </c>
      <c r="BH196" s="183">
        <v>0</v>
      </c>
      <c r="BI196" s="183">
        <v>0</v>
      </c>
      <c r="BJ196" s="199">
        <v>186</v>
      </c>
      <c r="BK196" s="199">
        <v>103</v>
      </c>
      <c r="BL196" s="199">
        <v>0</v>
      </c>
      <c r="BM196" s="183">
        <v>382</v>
      </c>
      <c r="BN196" s="199">
        <v>671</v>
      </c>
      <c r="BP196" s="199">
        <v>3038</v>
      </c>
      <c r="BS196" s="211"/>
      <c r="BV196" s="514">
        <v>12210</v>
      </c>
      <c r="BX196" s="181">
        <v>36608</v>
      </c>
      <c r="BZ196" s="349"/>
      <c r="CB196" s="340"/>
      <c r="CC196" s="488">
        <v>20.5</v>
      </c>
      <c r="CD196" s="378"/>
      <c r="CE196" s="378"/>
      <c r="CF196" s="195"/>
      <c r="CG196" s="349"/>
      <c r="CI196" s="181">
        <v>33842</v>
      </c>
      <c r="CJ196" s="183">
        <v>1200</v>
      </c>
      <c r="CK196" s="421">
        <v>38338.967917267342</v>
      </c>
      <c r="CL196" s="494">
        <v>39961.500504875105</v>
      </c>
      <c r="CM196" s="483">
        <v>14062.209873285148</v>
      </c>
      <c r="CN196" s="483">
        <v>14130.627934754197</v>
      </c>
      <c r="CO196" s="483">
        <v>14012.600969051051</v>
      </c>
      <c r="CP196" s="433">
        <f t="shared" si="3"/>
        <v>-1895.9679172673423</v>
      </c>
      <c r="CQ196" s="212"/>
      <c r="CR196" s="212">
        <v>-947</v>
      </c>
      <c r="CS196" s="212">
        <v>-7325</v>
      </c>
      <c r="CT196" s="183">
        <v>432</v>
      </c>
      <c r="CU196" s="183">
        <v>360</v>
      </c>
      <c r="CV196" s="485">
        <v>0</v>
      </c>
      <c r="CX196" s="422"/>
      <c r="CY196" s="475"/>
      <c r="CZ196" s="450"/>
      <c r="DA196" s="394"/>
      <c r="DB196" s="394"/>
      <c r="DC196" s="347"/>
      <c r="DD196" s="394"/>
      <c r="DE196" s="394"/>
      <c r="DF196" s="394"/>
      <c r="DG196" s="394"/>
      <c r="DH196" s="394"/>
    </row>
    <row r="197" spans="1:112" x14ac:dyDescent="0.25">
      <c r="A197" s="179">
        <v>616</v>
      </c>
      <c r="B197" s="181" t="s">
        <v>225</v>
      </c>
      <c r="C197" s="373">
        <v>1860</v>
      </c>
      <c r="D197" s="360">
        <v>21.5</v>
      </c>
      <c r="E197" s="213"/>
      <c r="G197" s="363">
        <v>1303</v>
      </c>
      <c r="H197" s="363">
        <v>12367</v>
      </c>
      <c r="I197" s="349"/>
      <c r="J197" s="363">
        <v>6043</v>
      </c>
      <c r="K197" s="363">
        <v>272</v>
      </c>
      <c r="L197" s="363">
        <v>446</v>
      </c>
      <c r="M197" s="363">
        <v>6761</v>
      </c>
      <c r="N197" s="363">
        <v>3422</v>
      </c>
      <c r="O197" s="363">
        <v>32</v>
      </c>
      <c r="P197" s="363">
        <v>47</v>
      </c>
      <c r="Q197" s="363">
        <v>150</v>
      </c>
      <c r="R197" s="363">
        <v>1</v>
      </c>
      <c r="S197" s="363">
        <v>-747</v>
      </c>
      <c r="U197" s="363">
        <v>348</v>
      </c>
      <c r="V197" s="363">
        <v>0</v>
      </c>
      <c r="W197" s="363">
        <v>0</v>
      </c>
      <c r="X197" s="363">
        <v>-1095</v>
      </c>
      <c r="Y197" s="363">
        <v>0</v>
      </c>
      <c r="Z197" s="363">
        <v>0</v>
      </c>
      <c r="AA197" s="363">
        <v>0</v>
      </c>
      <c r="AB197" s="363">
        <v>-1095</v>
      </c>
      <c r="AD197" s="363">
        <v>1273</v>
      </c>
      <c r="AG197" s="363">
        <v>5</v>
      </c>
      <c r="AH197" s="349"/>
      <c r="AJ197" s="363">
        <v>1072</v>
      </c>
      <c r="AL197" s="363">
        <v>5661</v>
      </c>
      <c r="AN197" s="349"/>
      <c r="AO197" s="454">
        <v>1833</v>
      </c>
      <c r="AP197" s="478">
        <v>21.5</v>
      </c>
      <c r="AQ197" s="213"/>
      <c r="AS197" s="509">
        <v>1197</v>
      </c>
      <c r="AT197" s="349">
        <v>12024</v>
      </c>
      <c r="AU197" s="480">
        <v>-10827</v>
      </c>
      <c r="AV197" s="199">
        <v>6303</v>
      </c>
      <c r="AW197" s="199">
        <v>298</v>
      </c>
      <c r="AX197" s="199">
        <v>396</v>
      </c>
      <c r="AY197" s="199">
        <v>6997</v>
      </c>
      <c r="AZ197" s="199">
        <v>4363</v>
      </c>
      <c r="BA197" s="181">
        <v>33</v>
      </c>
      <c r="BB197" s="511">
        <v>43</v>
      </c>
      <c r="BC197" s="181">
        <v>158</v>
      </c>
      <c r="BD197" s="181">
        <v>1</v>
      </c>
      <c r="BE197" s="199">
        <v>680</v>
      </c>
      <c r="BG197" s="183">
        <v>377</v>
      </c>
      <c r="BH197" s="199">
        <v>0</v>
      </c>
      <c r="BI197" s="199">
        <v>0</v>
      </c>
      <c r="BJ197" s="199">
        <v>303</v>
      </c>
      <c r="BK197" s="199">
        <v>0</v>
      </c>
      <c r="BL197" s="183">
        <v>0</v>
      </c>
      <c r="BM197" s="199">
        <v>0</v>
      </c>
      <c r="BN197" s="199">
        <v>303</v>
      </c>
      <c r="BP197" s="199">
        <v>1576</v>
      </c>
      <c r="BS197" s="211"/>
      <c r="BV197" s="514">
        <v>941</v>
      </c>
      <c r="BX197" s="181">
        <v>5816</v>
      </c>
      <c r="BZ197" s="349"/>
      <c r="CB197" s="340"/>
      <c r="CC197" s="488">
        <v>21.5</v>
      </c>
      <c r="CD197" s="378"/>
      <c r="CE197" s="378"/>
      <c r="CF197" s="195"/>
      <c r="CG197" s="349"/>
      <c r="CI197" s="181">
        <v>3759</v>
      </c>
      <c r="CJ197" s="183">
        <v>0</v>
      </c>
      <c r="CK197" s="421">
        <v>3889.3365952159065</v>
      </c>
      <c r="CL197" s="494">
        <v>3991.275200390327</v>
      </c>
      <c r="CM197" s="483">
        <v>964.88416475427334</v>
      </c>
      <c r="CN197" s="483">
        <v>938.47439359946543</v>
      </c>
      <c r="CO197" s="483">
        <v>1007.6501247787999</v>
      </c>
      <c r="CP197" s="433">
        <f t="shared" si="3"/>
        <v>-467.33659521590653</v>
      </c>
      <c r="CQ197" s="212"/>
      <c r="CR197" s="212">
        <v>-5</v>
      </c>
      <c r="CS197" s="212">
        <v>-270</v>
      </c>
      <c r="CT197" s="183">
        <v>117</v>
      </c>
      <c r="CU197" s="183">
        <v>41</v>
      </c>
      <c r="CV197" s="485">
        <v>0</v>
      </c>
      <c r="CX197" s="422"/>
      <c r="CY197" s="475"/>
      <c r="CZ197" s="450"/>
      <c r="DA197" s="394"/>
      <c r="DB197" s="394"/>
      <c r="DC197" s="347"/>
      <c r="DD197" s="394"/>
      <c r="DE197" s="394"/>
      <c r="DF197" s="394"/>
      <c r="DG197" s="394"/>
      <c r="DH197" s="394"/>
    </row>
    <row r="198" spans="1:112" x14ac:dyDescent="0.25">
      <c r="A198" s="179">
        <v>619</v>
      </c>
      <c r="B198" s="181" t="s">
        <v>226</v>
      </c>
      <c r="C198" s="373">
        <v>2828</v>
      </c>
      <c r="D198" s="360">
        <v>22</v>
      </c>
      <c r="E198" s="213"/>
      <c r="G198" s="363">
        <v>2328</v>
      </c>
      <c r="H198" s="363">
        <v>20607</v>
      </c>
      <c r="I198" s="349"/>
      <c r="J198" s="363">
        <v>7778</v>
      </c>
      <c r="K198" s="363">
        <v>493</v>
      </c>
      <c r="L198" s="363">
        <v>673</v>
      </c>
      <c r="M198" s="363">
        <v>8944</v>
      </c>
      <c r="N198" s="363">
        <v>9921</v>
      </c>
      <c r="O198" s="363">
        <v>6</v>
      </c>
      <c r="P198" s="363">
        <v>38</v>
      </c>
      <c r="Q198" s="363">
        <v>5</v>
      </c>
      <c r="R198" s="363">
        <v>0</v>
      </c>
      <c r="S198" s="363">
        <v>559</v>
      </c>
      <c r="U198" s="363">
        <v>928</v>
      </c>
      <c r="V198" s="363">
        <v>0</v>
      </c>
      <c r="W198" s="363">
        <v>0</v>
      </c>
      <c r="X198" s="363">
        <v>-369</v>
      </c>
      <c r="Y198" s="363">
        <v>46</v>
      </c>
      <c r="Z198" s="363">
        <v>0</v>
      </c>
      <c r="AA198" s="363">
        <v>0</v>
      </c>
      <c r="AB198" s="363">
        <v>-323</v>
      </c>
      <c r="AD198" s="363">
        <v>3244</v>
      </c>
      <c r="AG198" s="363">
        <v>-6213</v>
      </c>
      <c r="AH198" s="349"/>
      <c r="AJ198" s="363">
        <v>1335</v>
      </c>
      <c r="AL198" s="363">
        <v>7800</v>
      </c>
      <c r="AN198" s="349"/>
      <c r="AO198" s="454">
        <v>2785</v>
      </c>
      <c r="AP198" s="478">
        <v>22</v>
      </c>
      <c r="AQ198" s="213"/>
      <c r="AS198" s="509">
        <v>2260</v>
      </c>
      <c r="AT198" s="349">
        <v>20662</v>
      </c>
      <c r="AU198" s="480">
        <v>-18402</v>
      </c>
      <c r="AV198" s="199">
        <v>8020</v>
      </c>
      <c r="AW198" s="199">
        <v>539</v>
      </c>
      <c r="AX198" s="199">
        <v>608</v>
      </c>
      <c r="AY198" s="199">
        <v>9167</v>
      </c>
      <c r="AZ198" s="199">
        <v>11326</v>
      </c>
      <c r="BA198" s="181">
        <v>0</v>
      </c>
      <c r="BB198" s="511">
        <v>45</v>
      </c>
      <c r="BC198" s="181">
        <v>3</v>
      </c>
      <c r="BD198" s="181">
        <v>0</v>
      </c>
      <c r="BE198" s="199">
        <v>2049</v>
      </c>
      <c r="BG198" s="183">
        <v>1151</v>
      </c>
      <c r="BH198" s="183">
        <v>0</v>
      </c>
      <c r="BI198" s="183">
        <v>0</v>
      </c>
      <c r="BJ198" s="199">
        <v>898</v>
      </c>
      <c r="BK198" s="199">
        <v>43</v>
      </c>
      <c r="BL198" s="199">
        <v>0</v>
      </c>
      <c r="BM198" s="183">
        <v>0</v>
      </c>
      <c r="BN198" s="199">
        <v>941</v>
      </c>
      <c r="BP198" s="199">
        <v>4185</v>
      </c>
      <c r="BS198" s="211"/>
      <c r="BV198" s="514">
        <v>2711</v>
      </c>
      <c r="BX198" s="181">
        <v>8115</v>
      </c>
      <c r="BZ198" s="349"/>
      <c r="CB198" s="340"/>
      <c r="CC198" s="488">
        <v>22</v>
      </c>
      <c r="CD198" s="378"/>
      <c r="CE198" s="378"/>
      <c r="CF198" s="195"/>
      <c r="CG198" s="349"/>
      <c r="CI198" s="181">
        <v>10219</v>
      </c>
      <c r="CJ198" s="183">
        <v>0</v>
      </c>
      <c r="CK198" s="421">
        <v>11071.356241190722</v>
      </c>
      <c r="CL198" s="494">
        <v>11816.682006725077</v>
      </c>
      <c r="CM198" s="483">
        <v>3240.1852614703989</v>
      </c>
      <c r="CN198" s="483">
        <v>3075.3736725384374</v>
      </c>
      <c r="CO198" s="483">
        <v>2967.6350489946985</v>
      </c>
      <c r="CP198" s="433">
        <f t="shared" si="3"/>
        <v>-1150.3562411907224</v>
      </c>
      <c r="CQ198" s="212"/>
      <c r="CR198" s="212">
        <v>0</v>
      </c>
      <c r="CS198" s="212">
        <v>-919</v>
      </c>
      <c r="CT198" s="183">
        <v>11</v>
      </c>
      <c r="CU198" s="183">
        <v>0</v>
      </c>
      <c r="CV198" s="485">
        <v>0</v>
      </c>
      <c r="CX198" s="422"/>
      <c r="CY198" s="475"/>
      <c r="CZ198" s="450"/>
      <c r="DA198" s="394"/>
      <c r="DB198" s="394"/>
      <c r="DC198" s="347"/>
      <c r="DD198" s="394"/>
      <c r="DE198" s="394"/>
      <c r="DF198" s="394"/>
      <c r="DG198" s="394"/>
      <c r="DH198" s="394"/>
    </row>
    <row r="199" spans="1:112" x14ac:dyDescent="0.25">
      <c r="A199" s="179">
        <v>620</v>
      </c>
      <c r="B199" s="181" t="s">
        <v>227</v>
      </c>
      <c r="C199" s="373">
        <v>2528</v>
      </c>
      <c r="D199" s="360">
        <v>21.5</v>
      </c>
      <c r="E199" s="213"/>
      <c r="G199" s="363">
        <v>4897</v>
      </c>
      <c r="H199" s="363">
        <v>26132</v>
      </c>
      <c r="I199" s="349"/>
      <c r="J199" s="363">
        <v>6425</v>
      </c>
      <c r="K199" s="363">
        <v>1221</v>
      </c>
      <c r="L199" s="363">
        <v>824</v>
      </c>
      <c r="M199" s="363">
        <v>8470</v>
      </c>
      <c r="N199" s="363">
        <v>14183</v>
      </c>
      <c r="O199" s="363">
        <v>0</v>
      </c>
      <c r="P199" s="363">
        <v>42</v>
      </c>
      <c r="Q199" s="363">
        <v>12</v>
      </c>
      <c r="R199" s="363">
        <v>6</v>
      </c>
      <c r="S199" s="363">
        <v>1382</v>
      </c>
      <c r="U199" s="363">
        <v>1034</v>
      </c>
      <c r="V199" s="363">
        <v>0</v>
      </c>
      <c r="W199" s="363">
        <v>0</v>
      </c>
      <c r="X199" s="363">
        <v>348</v>
      </c>
      <c r="Y199" s="363">
        <v>144</v>
      </c>
      <c r="Z199" s="363">
        <v>0</v>
      </c>
      <c r="AA199" s="363">
        <v>0</v>
      </c>
      <c r="AB199" s="363">
        <v>492</v>
      </c>
      <c r="AD199" s="363">
        <v>2653</v>
      </c>
      <c r="AG199" s="363">
        <v>184</v>
      </c>
      <c r="AH199" s="349"/>
      <c r="AJ199" s="363">
        <v>2164</v>
      </c>
      <c r="AL199" s="363">
        <v>6231</v>
      </c>
      <c r="AN199" s="349"/>
      <c r="AO199" s="454">
        <v>2491</v>
      </c>
      <c r="AP199" s="478">
        <v>21.5</v>
      </c>
      <c r="AQ199" s="213"/>
      <c r="AS199" s="509">
        <v>4652</v>
      </c>
      <c r="AT199" s="349">
        <v>25825</v>
      </c>
      <c r="AU199" s="480">
        <v>-21173</v>
      </c>
      <c r="AV199" s="199">
        <v>6392</v>
      </c>
      <c r="AW199" s="199">
        <v>1325</v>
      </c>
      <c r="AX199" s="199">
        <v>740</v>
      </c>
      <c r="AY199" s="199">
        <v>8457</v>
      </c>
      <c r="AZ199" s="199">
        <v>15082</v>
      </c>
      <c r="BA199" s="181">
        <v>0</v>
      </c>
      <c r="BB199" s="511">
        <v>35</v>
      </c>
      <c r="BC199" s="181">
        <v>7</v>
      </c>
      <c r="BD199" s="181">
        <v>13</v>
      </c>
      <c r="BE199" s="199">
        <v>2325</v>
      </c>
      <c r="BG199" s="183">
        <v>1125</v>
      </c>
      <c r="BH199" s="183">
        <v>0</v>
      </c>
      <c r="BI199" s="183">
        <v>0</v>
      </c>
      <c r="BJ199" s="199">
        <v>1200</v>
      </c>
      <c r="BK199" s="199">
        <v>144</v>
      </c>
      <c r="BL199" s="183">
        <v>0</v>
      </c>
      <c r="BM199" s="183">
        <v>0</v>
      </c>
      <c r="BN199" s="199">
        <v>1344</v>
      </c>
      <c r="BP199" s="199">
        <v>3997</v>
      </c>
      <c r="BS199" s="211"/>
      <c r="BV199" s="514">
        <v>2361</v>
      </c>
      <c r="BX199" s="181">
        <v>4650</v>
      </c>
      <c r="BZ199" s="349"/>
      <c r="CB199" s="340"/>
      <c r="CC199" s="488">
        <v>21.5</v>
      </c>
      <c r="CD199" s="378"/>
      <c r="CE199" s="378"/>
      <c r="CF199" s="195"/>
      <c r="CG199" s="349"/>
      <c r="CI199" s="181">
        <v>12863</v>
      </c>
      <c r="CJ199" s="183">
        <v>0</v>
      </c>
      <c r="CK199" s="421">
        <v>14521.816064707727</v>
      </c>
      <c r="CL199" s="494">
        <v>15218.767780700304</v>
      </c>
      <c r="CM199" s="483">
        <v>3455.5557954218448</v>
      </c>
      <c r="CN199" s="483">
        <v>3441.3170247777502</v>
      </c>
      <c r="CO199" s="483">
        <v>3385.9887485008881</v>
      </c>
      <c r="CP199" s="433">
        <f t="shared" si="3"/>
        <v>-338.81606470772749</v>
      </c>
      <c r="CQ199" s="212"/>
      <c r="CR199" s="212">
        <v>-22</v>
      </c>
      <c r="CS199" s="212">
        <v>-732</v>
      </c>
      <c r="CT199" s="183">
        <v>220</v>
      </c>
      <c r="CU199" s="183">
        <v>13</v>
      </c>
      <c r="CV199" s="485">
        <v>0</v>
      </c>
      <c r="CX199" s="422"/>
      <c r="CY199" s="475"/>
      <c r="CZ199" s="450"/>
      <c r="DA199" s="394"/>
      <c r="DB199" s="394"/>
      <c r="DC199" s="347"/>
      <c r="DD199" s="394"/>
      <c r="DE199" s="394"/>
      <c r="DF199" s="394"/>
      <c r="DG199" s="394"/>
      <c r="DH199" s="394"/>
    </row>
    <row r="200" spans="1:112" x14ac:dyDescent="0.25">
      <c r="A200" s="179">
        <v>623</v>
      </c>
      <c r="B200" s="181" t="s">
        <v>14</v>
      </c>
      <c r="C200" s="373">
        <v>2151</v>
      </c>
      <c r="D200" s="360">
        <v>20</v>
      </c>
      <c r="E200" s="213"/>
      <c r="G200" s="363">
        <v>2695</v>
      </c>
      <c r="H200" s="363">
        <v>18049</v>
      </c>
      <c r="I200" s="349"/>
      <c r="J200" s="363">
        <v>6070</v>
      </c>
      <c r="K200" s="363">
        <v>1531</v>
      </c>
      <c r="L200" s="363">
        <v>1765</v>
      </c>
      <c r="M200" s="363">
        <v>9366</v>
      </c>
      <c r="N200" s="363">
        <v>8127</v>
      </c>
      <c r="O200" s="363">
        <v>8</v>
      </c>
      <c r="P200" s="363">
        <v>21</v>
      </c>
      <c r="Q200" s="363">
        <v>96</v>
      </c>
      <c r="R200" s="363">
        <v>3</v>
      </c>
      <c r="S200" s="363">
        <v>2219</v>
      </c>
      <c r="U200" s="363">
        <v>869</v>
      </c>
      <c r="V200" s="363">
        <v>0</v>
      </c>
      <c r="W200" s="363">
        <v>0</v>
      </c>
      <c r="X200" s="363">
        <v>1350</v>
      </c>
      <c r="Y200" s="363">
        <v>0</v>
      </c>
      <c r="Z200" s="363">
        <v>0</v>
      </c>
      <c r="AA200" s="363">
        <v>-500</v>
      </c>
      <c r="AB200" s="363">
        <v>850</v>
      </c>
      <c r="AD200" s="363">
        <v>8615</v>
      </c>
      <c r="AG200" s="363">
        <v>-470</v>
      </c>
      <c r="AH200" s="349"/>
      <c r="AJ200" s="363">
        <v>6019</v>
      </c>
      <c r="AL200" s="363">
        <v>613</v>
      </c>
      <c r="AN200" s="349"/>
      <c r="AO200" s="454">
        <v>2137</v>
      </c>
      <c r="AP200" s="478">
        <v>19.5</v>
      </c>
      <c r="AQ200" s="213"/>
      <c r="AS200" s="509">
        <v>2452</v>
      </c>
      <c r="AT200" s="349">
        <v>18214</v>
      </c>
      <c r="AU200" s="480">
        <v>-15762</v>
      </c>
      <c r="AV200" s="199">
        <v>5816</v>
      </c>
      <c r="AW200" s="199">
        <v>1764</v>
      </c>
      <c r="AX200" s="199">
        <v>1609</v>
      </c>
      <c r="AY200" s="199">
        <v>9189</v>
      </c>
      <c r="AZ200" s="199">
        <v>8892</v>
      </c>
      <c r="BA200" s="181">
        <v>6</v>
      </c>
      <c r="BB200" s="511">
        <v>11</v>
      </c>
      <c r="BC200" s="181">
        <v>96</v>
      </c>
      <c r="BD200" s="181">
        <v>4</v>
      </c>
      <c r="BE200" s="199">
        <v>2406</v>
      </c>
      <c r="BG200" s="183">
        <v>670</v>
      </c>
      <c r="BH200" s="183">
        <v>0</v>
      </c>
      <c r="BI200" s="183">
        <v>0</v>
      </c>
      <c r="BJ200" s="199">
        <v>1736</v>
      </c>
      <c r="BK200" s="199">
        <v>0</v>
      </c>
      <c r="BL200" s="183">
        <v>0</v>
      </c>
      <c r="BM200" s="183">
        <v>0</v>
      </c>
      <c r="BN200" s="199">
        <v>1736</v>
      </c>
      <c r="BP200" s="199">
        <v>10350</v>
      </c>
      <c r="BS200" s="211"/>
      <c r="BV200" s="514">
        <v>6906</v>
      </c>
      <c r="BX200" s="181">
        <v>300</v>
      </c>
      <c r="BZ200" s="349"/>
      <c r="CB200" s="340"/>
      <c r="CC200" s="488">
        <v>19.5</v>
      </c>
      <c r="CD200" s="378"/>
      <c r="CE200" s="378"/>
      <c r="CF200" s="195"/>
      <c r="CG200" s="349"/>
      <c r="CI200" s="181">
        <v>8059</v>
      </c>
      <c r="CJ200" s="183">
        <v>0</v>
      </c>
      <c r="CK200" s="421">
        <v>8483.3928835266415</v>
      </c>
      <c r="CL200" s="494">
        <v>8551.08425512541</v>
      </c>
      <c r="CM200" s="483">
        <v>490.3824287529718</v>
      </c>
      <c r="CN200" s="483">
        <v>578.89689269124199</v>
      </c>
      <c r="CO200" s="483">
        <v>664.5450436670684</v>
      </c>
      <c r="CP200" s="433">
        <f t="shared" si="3"/>
        <v>-356.39288352664153</v>
      </c>
      <c r="CQ200" s="212"/>
      <c r="CR200" s="212">
        <v>-11</v>
      </c>
      <c r="CS200" s="212">
        <v>-1194</v>
      </c>
      <c r="CT200" s="183">
        <v>97</v>
      </c>
      <c r="CU200" s="183">
        <v>14</v>
      </c>
      <c r="CV200" s="485">
        <v>0</v>
      </c>
      <c r="CX200" s="422"/>
      <c r="CY200" s="475"/>
      <c r="CZ200" s="450"/>
      <c r="DA200" s="394"/>
      <c r="DB200" s="394"/>
      <c r="DC200" s="347"/>
      <c r="DD200" s="394"/>
      <c r="DE200" s="394"/>
      <c r="DF200" s="394"/>
      <c r="DG200" s="394"/>
      <c r="DH200" s="394"/>
    </row>
    <row r="201" spans="1:112" x14ac:dyDescent="0.25">
      <c r="A201" s="179">
        <v>624</v>
      </c>
      <c r="B201" s="181" t="s">
        <v>228</v>
      </c>
      <c r="C201" s="373">
        <v>5140</v>
      </c>
      <c r="D201" s="360">
        <v>20.25</v>
      </c>
      <c r="E201" s="213"/>
      <c r="G201" s="363">
        <v>1668</v>
      </c>
      <c r="H201" s="363">
        <v>30708</v>
      </c>
      <c r="I201" s="349"/>
      <c r="J201" s="363">
        <v>17972</v>
      </c>
      <c r="K201" s="363">
        <v>845</v>
      </c>
      <c r="L201" s="363">
        <v>2107</v>
      </c>
      <c r="M201" s="363">
        <v>20924</v>
      </c>
      <c r="N201" s="363">
        <v>8808</v>
      </c>
      <c r="O201" s="363">
        <v>20</v>
      </c>
      <c r="P201" s="363">
        <v>13</v>
      </c>
      <c r="Q201" s="363">
        <v>39</v>
      </c>
      <c r="R201" s="363">
        <v>1</v>
      </c>
      <c r="S201" s="363">
        <v>737</v>
      </c>
      <c r="U201" s="363">
        <v>1532</v>
      </c>
      <c r="V201" s="363">
        <v>0</v>
      </c>
      <c r="W201" s="363">
        <v>0</v>
      </c>
      <c r="X201" s="363">
        <v>-795</v>
      </c>
      <c r="Y201" s="363">
        <v>0</v>
      </c>
      <c r="Z201" s="363">
        <v>0</v>
      </c>
      <c r="AA201" s="363">
        <v>0</v>
      </c>
      <c r="AB201" s="363">
        <v>-795</v>
      </c>
      <c r="AD201" s="363">
        <v>2108</v>
      </c>
      <c r="AG201" s="363">
        <v>-1408</v>
      </c>
      <c r="AH201" s="349"/>
      <c r="AJ201" s="363">
        <v>1369</v>
      </c>
      <c r="AL201" s="363">
        <v>16642</v>
      </c>
      <c r="AN201" s="349"/>
      <c r="AO201" s="454">
        <v>5125</v>
      </c>
      <c r="AP201" s="478">
        <v>20.75</v>
      </c>
      <c r="AQ201" s="213"/>
      <c r="AS201" s="509">
        <v>1397</v>
      </c>
      <c r="AT201" s="349">
        <v>31837</v>
      </c>
      <c r="AU201" s="480">
        <v>-30440</v>
      </c>
      <c r="AV201" s="199">
        <v>19501</v>
      </c>
      <c r="AW201" s="199">
        <v>923</v>
      </c>
      <c r="AX201" s="199">
        <v>1930</v>
      </c>
      <c r="AY201" s="199">
        <v>22354</v>
      </c>
      <c r="AZ201" s="199">
        <v>10750</v>
      </c>
      <c r="BA201" s="181">
        <v>20</v>
      </c>
      <c r="BB201" s="511">
        <v>30</v>
      </c>
      <c r="BC201" s="181">
        <v>32</v>
      </c>
      <c r="BD201" s="181">
        <v>0</v>
      </c>
      <c r="BE201" s="199">
        <v>2686</v>
      </c>
      <c r="BG201" s="183">
        <v>1568</v>
      </c>
      <c r="BH201" s="183">
        <v>0</v>
      </c>
      <c r="BI201" s="199">
        <v>0</v>
      </c>
      <c r="BJ201" s="199">
        <v>1118</v>
      </c>
      <c r="BK201" s="183">
        <v>0</v>
      </c>
      <c r="BL201" s="183">
        <v>0</v>
      </c>
      <c r="BM201" s="183">
        <v>0</v>
      </c>
      <c r="BN201" s="199">
        <v>1118</v>
      </c>
      <c r="BP201" s="199">
        <v>3225</v>
      </c>
      <c r="BS201" s="211"/>
      <c r="BV201" s="514">
        <v>1543</v>
      </c>
      <c r="BX201" s="181">
        <v>14175</v>
      </c>
      <c r="BZ201" s="349"/>
      <c r="CB201" s="340"/>
      <c r="CC201" s="488">
        <v>20.75</v>
      </c>
      <c r="CD201" s="378"/>
      <c r="CE201" s="378"/>
      <c r="CF201" s="195"/>
      <c r="CG201" s="349"/>
      <c r="CI201" s="181">
        <v>7528</v>
      </c>
      <c r="CJ201" s="183">
        <v>0</v>
      </c>
      <c r="CK201" s="421">
        <v>9879.4878122917908</v>
      </c>
      <c r="CL201" s="494">
        <v>10109.224222558005</v>
      </c>
      <c r="CM201" s="483">
        <v>4481.7571954030955</v>
      </c>
      <c r="CN201" s="483">
        <v>4328.3608330051266</v>
      </c>
      <c r="CO201" s="483">
        <v>4409.7126043652552</v>
      </c>
      <c r="CP201" s="433">
        <f t="shared" si="3"/>
        <v>-1071.4878122917908</v>
      </c>
      <c r="CQ201" s="212"/>
      <c r="CR201" s="212">
        <v>836</v>
      </c>
      <c r="CS201" s="212">
        <v>-1259</v>
      </c>
      <c r="CT201" s="183">
        <v>0</v>
      </c>
      <c r="CU201" s="183">
        <v>124</v>
      </c>
      <c r="CV201" s="485">
        <v>-34</v>
      </c>
      <c r="CX201" s="422"/>
      <c r="CY201" s="475"/>
      <c r="CZ201" s="450"/>
      <c r="DA201" s="394"/>
      <c r="DB201" s="394"/>
      <c r="DC201" s="347"/>
      <c r="DD201" s="394"/>
      <c r="DE201" s="394"/>
      <c r="DF201" s="394"/>
      <c r="DG201" s="394"/>
      <c r="DH201" s="394"/>
    </row>
    <row r="202" spans="1:112" x14ac:dyDescent="0.25">
      <c r="A202" s="179">
        <v>625</v>
      </c>
      <c r="B202" s="181" t="s">
        <v>229</v>
      </c>
      <c r="C202" s="373">
        <v>3077</v>
      </c>
      <c r="D202" s="360">
        <v>20.75</v>
      </c>
      <c r="E202" s="213"/>
      <c r="G202" s="363">
        <v>3114</v>
      </c>
      <c r="H202" s="363">
        <v>24894</v>
      </c>
      <c r="I202" s="349"/>
      <c r="J202" s="363">
        <v>9064</v>
      </c>
      <c r="K202" s="363">
        <v>519</v>
      </c>
      <c r="L202" s="363">
        <v>1647</v>
      </c>
      <c r="M202" s="363">
        <v>11230</v>
      </c>
      <c r="N202" s="363">
        <v>10194</v>
      </c>
      <c r="O202" s="363">
        <v>46</v>
      </c>
      <c r="P202" s="363">
        <v>2</v>
      </c>
      <c r="Q202" s="363">
        <v>428</v>
      </c>
      <c r="R202" s="363">
        <v>71</v>
      </c>
      <c r="S202" s="363">
        <v>45</v>
      </c>
      <c r="U202" s="363">
        <v>991</v>
      </c>
      <c r="V202" s="363">
        <v>70</v>
      </c>
      <c r="W202" s="363">
        <v>0</v>
      </c>
      <c r="X202" s="363">
        <v>-876</v>
      </c>
      <c r="Y202" s="363">
        <v>0</v>
      </c>
      <c r="Z202" s="363">
        <v>0</v>
      </c>
      <c r="AA202" s="363">
        <v>0</v>
      </c>
      <c r="AB202" s="363">
        <v>-876</v>
      </c>
      <c r="AD202" s="363">
        <v>10631</v>
      </c>
      <c r="AG202" s="363">
        <v>-1872</v>
      </c>
      <c r="AH202" s="349"/>
      <c r="AJ202" s="363">
        <v>7241</v>
      </c>
      <c r="AL202" s="363">
        <v>12450</v>
      </c>
      <c r="AN202" s="349"/>
      <c r="AO202" s="454">
        <v>3051</v>
      </c>
      <c r="AP202" s="478">
        <v>20.75</v>
      </c>
      <c r="AQ202" s="213"/>
      <c r="AS202" s="509">
        <v>2742</v>
      </c>
      <c r="AT202" s="349">
        <v>23316</v>
      </c>
      <c r="AU202" s="480">
        <v>-20574</v>
      </c>
      <c r="AV202" s="199">
        <v>9527</v>
      </c>
      <c r="AW202" s="199">
        <v>677</v>
      </c>
      <c r="AX202" s="199">
        <v>1615</v>
      </c>
      <c r="AY202" s="199">
        <v>11819</v>
      </c>
      <c r="AZ202" s="199">
        <v>11757</v>
      </c>
      <c r="BA202" s="181">
        <v>12</v>
      </c>
      <c r="BB202" s="511">
        <v>2</v>
      </c>
      <c r="BC202" s="181">
        <v>138</v>
      </c>
      <c r="BD202" s="181">
        <v>5</v>
      </c>
      <c r="BE202" s="199">
        <v>3145</v>
      </c>
      <c r="BG202" s="183">
        <v>1152</v>
      </c>
      <c r="BH202" s="183">
        <v>0</v>
      </c>
      <c r="BI202" s="183">
        <v>0</v>
      </c>
      <c r="BJ202" s="199">
        <v>1993</v>
      </c>
      <c r="BK202" s="183">
        <v>0</v>
      </c>
      <c r="BL202" s="183">
        <v>-1500</v>
      </c>
      <c r="BM202" s="183">
        <v>0</v>
      </c>
      <c r="BN202" s="199">
        <v>493</v>
      </c>
      <c r="BP202" s="199">
        <v>11124</v>
      </c>
      <c r="BS202" s="211"/>
      <c r="BV202" s="514">
        <v>7737</v>
      </c>
      <c r="BX202" s="181">
        <v>10950</v>
      </c>
      <c r="BZ202" s="349"/>
      <c r="CB202" s="340"/>
      <c r="CC202" s="488">
        <v>20.75</v>
      </c>
      <c r="CD202" s="378"/>
      <c r="CE202" s="378"/>
      <c r="CF202" s="195"/>
      <c r="CG202" s="349"/>
      <c r="CI202" s="181">
        <v>8030</v>
      </c>
      <c r="CJ202" s="183">
        <v>0</v>
      </c>
      <c r="CK202" s="421">
        <v>11019.864735100655</v>
      </c>
      <c r="CL202" s="494">
        <v>11542.851661006223</v>
      </c>
      <c r="CM202" s="483">
        <v>4619.4390212881626</v>
      </c>
      <c r="CN202" s="483">
        <v>4684.1099943176814</v>
      </c>
      <c r="CO202" s="483">
        <v>4684.3207588503055</v>
      </c>
      <c r="CP202" s="433">
        <f t="shared" si="3"/>
        <v>-825.8647351006548</v>
      </c>
      <c r="CQ202" s="212"/>
      <c r="CR202" s="212">
        <v>-2</v>
      </c>
      <c r="CS202" s="212">
        <v>-1084</v>
      </c>
      <c r="CT202" s="183">
        <v>13</v>
      </c>
      <c r="CU202" s="183">
        <v>2</v>
      </c>
      <c r="CV202" s="485">
        <v>119</v>
      </c>
      <c r="CX202" s="422"/>
      <c r="CY202" s="475"/>
      <c r="CZ202" s="450"/>
      <c r="DA202" s="394"/>
      <c r="DB202" s="394"/>
      <c r="DC202" s="347"/>
      <c r="DD202" s="394"/>
      <c r="DE202" s="394"/>
      <c r="DF202" s="394"/>
      <c r="DG202" s="394"/>
      <c r="DH202" s="394"/>
    </row>
    <row r="203" spans="1:112" x14ac:dyDescent="0.25">
      <c r="A203" s="179">
        <v>626</v>
      </c>
      <c r="B203" s="181" t="s">
        <v>230</v>
      </c>
      <c r="C203" s="373">
        <v>5131</v>
      </c>
      <c r="D203" s="360">
        <v>20.75</v>
      </c>
      <c r="E203" s="213"/>
      <c r="G203" s="363">
        <v>3958</v>
      </c>
      <c r="H203" s="363">
        <v>42481</v>
      </c>
      <c r="I203" s="349"/>
      <c r="J203" s="363">
        <v>14334</v>
      </c>
      <c r="K203" s="363">
        <v>4151</v>
      </c>
      <c r="L203" s="363">
        <v>1249</v>
      </c>
      <c r="M203" s="363">
        <v>19734</v>
      </c>
      <c r="N203" s="363">
        <v>16586</v>
      </c>
      <c r="O203" s="363">
        <v>26</v>
      </c>
      <c r="P203" s="363">
        <v>148</v>
      </c>
      <c r="Q203" s="363">
        <v>656</v>
      </c>
      <c r="R203" s="363">
        <v>46</v>
      </c>
      <c r="S203" s="363">
        <v>-1715</v>
      </c>
      <c r="U203" s="363">
        <v>1863</v>
      </c>
      <c r="V203" s="363">
        <v>0</v>
      </c>
      <c r="W203" s="363">
        <v>0</v>
      </c>
      <c r="X203" s="363">
        <v>-3578</v>
      </c>
      <c r="Y203" s="363">
        <v>347</v>
      </c>
      <c r="Z203" s="363">
        <v>0</v>
      </c>
      <c r="AA203" s="363">
        <v>0</v>
      </c>
      <c r="AB203" s="363">
        <v>-3231</v>
      </c>
      <c r="AD203" s="363">
        <v>745</v>
      </c>
      <c r="AG203" s="363">
        <v>-2615</v>
      </c>
      <c r="AH203" s="349"/>
      <c r="AJ203" s="363">
        <v>9923</v>
      </c>
      <c r="AL203" s="363">
        <v>29099</v>
      </c>
      <c r="AN203" s="349"/>
      <c r="AO203" s="454">
        <v>5033</v>
      </c>
      <c r="AP203" s="478">
        <v>21.75</v>
      </c>
      <c r="AQ203" s="213"/>
      <c r="AS203" s="509">
        <v>3993</v>
      </c>
      <c r="AT203" s="349">
        <v>42760</v>
      </c>
      <c r="AU203" s="480">
        <v>-38767</v>
      </c>
      <c r="AV203" s="199">
        <v>15799</v>
      </c>
      <c r="AW203" s="199">
        <v>4733</v>
      </c>
      <c r="AX203" s="199">
        <v>1185</v>
      </c>
      <c r="AY203" s="199">
        <v>21717</v>
      </c>
      <c r="AZ203" s="199">
        <v>19461</v>
      </c>
      <c r="BA203" s="181">
        <v>20</v>
      </c>
      <c r="BB203" s="511">
        <v>171</v>
      </c>
      <c r="BC203" s="181">
        <v>226</v>
      </c>
      <c r="BD203" s="181">
        <v>360</v>
      </c>
      <c r="BE203" s="199">
        <v>2126</v>
      </c>
      <c r="BG203" s="183">
        <v>1839</v>
      </c>
      <c r="BH203" s="183">
        <v>0</v>
      </c>
      <c r="BI203" s="183">
        <v>198</v>
      </c>
      <c r="BJ203" s="199">
        <v>89</v>
      </c>
      <c r="BK203" s="183">
        <v>338</v>
      </c>
      <c r="BL203" s="183">
        <v>0</v>
      </c>
      <c r="BM203" s="183">
        <v>0</v>
      </c>
      <c r="BN203" s="199">
        <v>427</v>
      </c>
      <c r="BP203" s="199">
        <v>1172</v>
      </c>
      <c r="BS203" s="211"/>
      <c r="BV203" s="514">
        <v>10321</v>
      </c>
      <c r="BX203" s="181">
        <v>30252</v>
      </c>
      <c r="BZ203" s="349"/>
      <c r="CB203" s="340"/>
      <c r="CC203" s="488">
        <v>21.75</v>
      </c>
      <c r="CD203" s="378"/>
      <c r="CE203" s="378"/>
      <c r="CF203" s="195"/>
      <c r="CG203" s="349"/>
      <c r="CI203" s="181">
        <v>16389</v>
      </c>
      <c r="CJ203" s="183">
        <v>0</v>
      </c>
      <c r="CK203" s="421">
        <v>19351.429178716906</v>
      </c>
      <c r="CL203" s="494">
        <v>19905.854634436928</v>
      </c>
      <c r="CM203" s="483">
        <v>1211.6744838756774</v>
      </c>
      <c r="CN203" s="483">
        <v>1674.2268121575123</v>
      </c>
      <c r="CO203" s="483">
        <v>1709.7013660315049</v>
      </c>
      <c r="CP203" s="433">
        <f t="shared" si="3"/>
        <v>-2765.4291787169059</v>
      </c>
      <c r="CQ203" s="212"/>
      <c r="CR203" s="212">
        <v>-33</v>
      </c>
      <c r="CS203" s="212">
        <v>-2091</v>
      </c>
      <c r="CT203" s="183">
        <v>331</v>
      </c>
      <c r="CU203" s="183">
        <v>256</v>
      </c>
      <c r="CV203" s="485">
        <v>-47</v>
      </c>
      <c r="CX203" s="422"/>
      <c r="CY203" s="475"/>
      <c r="CZ203" s="450"/>
      <c r="DA203" s="394"/>
      <c r="DB203" s="394"/>
      <c r="DC203" s="347"/>
      <c r="DD203" s="394"/>
      <c r="DE203" s="394"/>
      <c r="DF203" s="394"/>
      <c r="DG203" s="394"/>
      <c r="DH203" s="394"/>
    </row>
    <row r="204" spans="1:112" x14ac:dyDescent="0.25">
      <c r="A204" s="179">
        <v>630</v>
      </c>
      <c r="B204" s="181" t="s">
        <v>231</v>
      </c>
      <c r="C204" s="373">
        <v>1578</v>
      </c>
      <c r="D204" s="360">
        <v>19.75</v>
      </c>
      <c r="E204" s="213"/>
      <c r="G204" s="363">
        <v>2074</v>
      </c>
      <c r="H204" s="363">
        <v>11996</v>
      </c>
      <c r="I204" s="349"/>
      <c r="J204" s="363">
        <v>3664</v>
      </c>
      <c r="K204" s="363">
        <v>604</v>
      </c>
      <c r="L204" s="363">
        <v>503</v>
      </c>
      <c r="M204" s="363">
        <v>4771</v>
      </c>
      <c r="N204" s="363">
        <v>5541</v>
      </c>
      <c r="O204" s="363">
        <v>11</v>
      </c>
      <c r="P204" s="363">
        <v>14</v>
      </c>
      <c r="Q204" s="363">
        <v>12</v>
      </c>
      <c r="R204" s="363">
        <v>0</v>
      </c>
      <c r="S204" s="363">
        <v>399</v>
      </c>
      <c r="U204" s="363">
        <v>464</v>
      </c>
      <c r="V204" s="363">
        <v>0</v>
      </c>
      <c r="W204" s="363">
        <v>0</v>
      </c>
      <c r="X204" s="363">
        <v>-65</v>
      </c>
      <c r="Y204" s="363">
        <v>59</v>
      </c>
      <c r="Z204" s="363">
        <v>0</v>
      </c>
      <c r="AA204" s="363">
        <v>0</v>
      </c>
      <c r="AB204" s="363">
        <v>-6</v>
      </c>
      <c r="AD204" s="363">
        <v>4004</v>
      </c>
      <c r="AG204" s="363">
        <v>-1236</v>
      </c>
      <c r="AH204" s="349"/>
      <c r="AJ204" s="363">
        <v>446</v>
      </c>
      <c r="AL204" s="363">
        <v>4657</v>
      </c>
      <c r="AN204" s="349"/>
      <c r="AO204" s="454">
        <v>1593</v>
      </c>
      <c r="AP204" s="478">
        <v>19.75</v>
      </c>
      <c r="AQ204" s="213"/>
      <c r="AS204" s="509">
        <v>2024</v>
      </c>
      <c r="AT204" s="349">
        <v>12924</v>
      </c>
      <c r="AU204" s="480">
        <v>-10900</v>
      </c>
      <c r="AV204" s="199">
        <v>3943</v>
      </c>
      <c r="AW204" s="199">
        <v>621</v>
      </c>
      <c r="AX204" s="199">
        <v>464</v>
      </c>
      <c r="AY204" s="199">
        <v>5028</v>
      </c>
      <c r="AZ204" s="199">
        <v>6342</v>
      </c>
      <c r="BA204" s="181">
        <v>11</v>
      </c>
      <c r="BB204" s="511">
        <v>13</v>
      </c>
      <c r="BC204" s="181">
        <v>13</v>
      </c>
      <c r="BD204" s="181">
        <v>2</v>
      </c>
      <c r="BE204" s="199">
        <v>479</v>
      </c>
      <c r="BG204" s="183">
        <v>487</v>
      </c>
      <c r="BH204" s="183">
        <v>0</v>
      </c>
      <c r="BI204" s="183">
        <v>0</v>
      </c>
      <c r="BJ204" s="199">
        <v>-8</v>
      </c>
      <c r="BK204" s="183">
        <v>-608</v>
      </c>
      <c r="BL204" s="183">
        <v>700</v>
      </c>
      <c r="BM204" s="183">
        <v>0</v>
      </c>
      <c r="BN204" s="199">
        <v>84</v>
      </c>
      <c r="BP204" s="199">
        <v>4021</v>
      </c>
      <c r="BS204" s="211"/>
      <c r="BV204" s="514">
        <v>713</v>
      </c>
      <c r="BX204" s="181">
        <v>4391</v>
      </c>
      <c r="BZ204" s="349"/>
      <c r="CB204" s="340"/>
      <c r="CC204" s="488">
        <v>19.75</v>
      </c>
      <c r="CD204" s="378"/>
      <c r="CE204" s="378"/>
      <c r="CF204" s="195"/>
      <c r="CG204" s="349"/>
      <c r="CI204" s="181">
        <v>5354</v>
      </c>
      <c r="CJ204" s="183">
        <v>0</v>
      </c>
      <c r="CK204" s="421">
        <v>6333.9839475189829</v>
      </c>
      <c r="CL204" s="494">
        <v>6781.1969888715021</v>
      </c>
      <c r="CM204" s="483">
        <v>2845.6305933870472</v>
      </c>
      <c r="CN204" s="483">
        <v>2968.2039537608025</v>
      </c>
      <c r="CO204" s="483">
        <v>3019.2642122163516</v>
      </c>
      <c r="CP204" s="433">
        <f t="shared" si="3"/>
        <v>-792.98394751898286</v>
      </c>
      <c r="CQ204" s="212"/>
      <c r="CR204" s="212">
        <v>-19</v>
      </c>
      <c r="CS204" s="212">
        <v>-600</v>
      </c>
      <c r="CT204" s="183">
        <v>207</v>
      </c>
      <c r="CU204" s="183">
        <v>29</v>
      </c>
      <c r="CV204" s="485">
        <v>15</v>
      </c>
      <c r="CX204" s="422"/>
      <c r="CY204" s="475"/>
      <c r="CZ204" s="450"/>
      <c r="DA204" s="394"/>
      <c r="DB204" s="394"/>
      <c r="DC204" s="347"/>
      <c r="DD204" s="394"/>
      <c r="DE204" s="394"/>
      <c r="DF204" s="394"/>
      <c r="DG204" s="394"/>
      <c r="DH204" s="394"/>
    </row>
    <row r="205" spans="1:112" x14ac:dyDescent="0.25">
      <c r="A205" s="179">
        <v>631</v>
      </c>
      <c r="B205" s="181" t="s">
        <v>232</v>
      </c>
      <c r="C205" s="373">
        <v>2004</v>
      </c>
      <c r="D205" s="360">
        <v>21.75</v>
      </c>
      <c r="E205" s="213"/>
      <c r="G205" s="363">
        <v>1152</v>
      </c>
      <c r="H205" s="363">
        <v>11853</v>
      </c>
      <c r="I205" s="349"/>
      <c r="J205" s="363">
        <v>7175</v>
      </c>
      <c r="K205" s="363">
        <v>320</v>
      </c>
      <c r="L205" s="363">
        <v>866</v>
      </c>
      <c r="M205" s="363">
        <v>8361</v>
      </c>
      <c r="N205" s="363">
        <v>3441</v>
      </c>
      <c r="O205" s="363">
        <v>1</v>
      </c>
      <c r="P205" s="363">
        <v>14</v>
      </c>
      <c r="Q205" s="363">
        <v>2</v>
      </c>
      <c r="R205" s="363">
        <v>2</v>
      </c>
      <c r="S205" s="363">
        <v>1088</v>
      </c>
      <c r="U205" s="363">
        <v>489</v>
      </c>
      <c r="V205" s="363">
        <v>0</v>
      </c>
      <c r="W205" s="363">
        <v>0</v>
      </c>
      <c r="X205" s="363">
        <v>599</v>
      </c>
      <c r="Y205" s="363">
        <v>23</v>
      </c>
      <c r="Z205" s="363">
        <v>0</v>
      </c>
      <c r="AA205" s="363">
        <v>0</v>
      </c>
      <c r="AB205" s="363">
        <v>622</v>
      </c>
      <c r="AD205" s="363">
        <v>1613</v>
      </c>
      <c r="AG205" s="363">
        <v>-1153</v>
      </c>
      <c r="AH205" s="349"/>
      <c r="AJ205" s="363">
        <v>1891</v>
      </c>
      <c r="AL205" s="363">
        <v>2325</v>
      </c>
      <c r="AN205" s="349"/>
      <c r="AO205" s="454">
        <v>1994</v>
      </c>
      <c r="AP205" s="478">
        <v>21.75</v>
      </c>
      <c r="AQ205" s="213"/>
      <c r="AS205" s="509">
        <v>980</v>
      </c>
      <c r="AT205" s="349">
        <v>12077</v>
      </c>
      <c r="AU205" s="480">
        <v>-11097</v>
      </c>
      <c r="AV205" s="199">
        <v>7594</v>
      </c>
      <c r="AW205" s="199">
        <v>319</v>
      </c>
      <c r="AX205" s="199">
        <v>709</v>
      </c>
      <c r="AY205" s="199">
        <v>8622</v>
      </c>
      <c r="AZ205" s="199">
        <v>4067</v>
      </c>
      <c r="BA205" s="181">
        <v>0</v>
      </c>
      <c r="BB205" s="511">
        <v>7</v>
      </c>
      <c r="BC205" s="181">
        <v>2</v>
      </c>
      <c r="BD205" s="181">
        <v>1</v>
      </c>
      <c r="BE205" s="199">
        <v>1586</v>
      </c>
      <c r="BG205" s="183">
        <v>536</v>
      </c>
      <c r="BH205" s="183">
        <v>0</v>
      </c>
      <c r="BI205" s="183">
        <v>-1</v>
      </c>
      <c r="BJ205" s="199">
        <v>1051</v>
      </c>
      <c r="BK205" s="199">
        <v>23</v>
      </c>
      <c r="BL205" s="183">
        <v>0</v>
      </c>
      <c r="BM205" s="183">
        <v>0</v>
      </c>
      <c r="BN205" s="199">
        <v>1074</v>
      </c>
      <c r="BP205" s="199">
        <v>2688</v>
      </c>
      <c r="BS205" s="211"/>
      <c r="BV205" s="514">
        <v>3332</v>
      </c>
      <c r="BX205" s="181">
        <v>2075</v>
      </c>
      <c r="BZ205" s="349"/>
      <c r="CB205" s="340"/>
      <c r="CC205" s="488">
        <v>21.75</v>
      </c>
      <c r="CD205" s="378"/>
      <c r="CE205" s="378"/>
      <c r="CF205" s="195"/>
      <c r="CG205" s="349"/>
      <c r="CI205" s="181">
        <v>2842</v>
      </c>
      <c r="CJ205" s="183">
        <v>0</v>
      </c>
      <c r="CK205" s="421">
        <v>3651.2771354422575</v>
      </c>
      <c r="CL205" s="494">
        <v>3941.9048238602718</v>
      </c>
      <c r="CM205" s="483">
        <v>1239.5683519936742</v>
      </c>
      <c r="CN205" s="483">
        <v>1080.6321685252892</v>
      </c>
      <c r="CO205" s="483">
        <v>1071.3362868068093</v>
      </c>
      <c r="CP205" s="433">
        <f t="shared" si="3"/>
        <v>-210.27713544225753</v>
      </c>
      <c r="CQ205" s="212"/>
      <c r="CR205" s="212">
        <v>0</v>
      </c>
      <c r="CS205" s="212">
        <v>-259</v>
      </c>
      <c r="CT205" s="183">
        <v>0</v>
      </c>
      <c r="CU205" s="183">
        <v>0</v>
      </c>
      <c r="CV205" s="485">
        <v>0</v>
      </c>
      <c r="CX205" s="422"/>
      <c r="CY205" s="475"/>
      <c r="CZ205" s="450"/>
      <c r="DA205" s="394"/>
      <c r="DB205" s="394"/>
      <c r="DC205" s="347"/>
      <c r="DD205" s="394"/>
      <c r="DE205" s="394"/>
      <c r="DF205" s="394"/>
      <c r="DG205" s="394"/>
      <c r="DH205" s="394"/>
    </row>
    <row r="206" spans="1:112" x14ac:dyDescent="0.25">
      <c r="A206" s="179">
        <v>635</v>
      </c>
      <c r="B206" s="181" t="s">
        <v>233</v>
      </c>
      <c r="C206" s="373">
        <v>6435</v>
      </c>
      <c r="D206" s="360">
        <v>21.5</v>
      </c>
      <c r="E206" s="213"/>
      <c r="G206" s="363">
        <v>4885</v>
      </c>
      <c r="H206" s="363">
        <v>42738</v>
      </c>
      <c r="I206" s="349"/>
      <c r="J206" s="363">
        <v>19815</v>
      </c>
      <c r="K206" s="363">
        <v>1217</v>
      </c>
      <c r="L206" s="363">
        <v>2360</v>
      </c>
      <c r="M206" s="363">
        <v>23392</v>
      </c>
      <c r="N206" s="363">
        <v>16264</v>
      </c>
      <c r="O206" s="363">
        <v>2</v>
      </c>
      <c r="P206" s="363">
        <v>125</v>
      </c>
      <c r="Q206" s="363">
        <v>199</v>
      </c>
      <c r="R206" s="363">
        <v>3</v>
      </c>
      <c r="S206" s="363">
        <v>1876</v>
      </c>
      <c r="U206" s="363">
        <v>2551</v>
      </c>
      <c r="V206" s="363">
        <v>0</v>
      </c>
      <c r="W206" s="363">
        <v>0</v>
      </c>
      <c r="X206" s="363">
        <v>-675</v>
      </c>
      <c r="Y206" s="363">
        <v>794</v>
      </c>
      <c r="Z206" s="363">
        <v>0</v>
      </c>
      <c r="AA206" s="363">
        <v>0</v>
      </c>
      <c r="AB206" s="363">
        <v>119</v>
      </c>
      <c r="AD206" s="363">
        <v>9425</v>
      </c>
      <c r="AG206" s="363">
        <v>-2469</v>
      </c>
      <c r="AH206" s="349"/>
      <c r="AJ206" s="363">
        <v>1147</v>
      </c>
      <c r="AL206" s="363">
        <v>10424</v>
      </c>
      <c r="AN206" s="349"/>
      <c r="AO206" s="454">
        <v>6415</v>
      </c>
      <c r="AP206" s="478">
        <v>21.5</v>
      </c>
      <c r="AQ206" s="213"/>
      <c r="AS206" s="509">
        <v>4550</v>
      </c>
      <c r="AT206" s="349">
        <v>42613</v>
      </c>
      <c r="AU206" s="480">
        <v>-38063</v>
      </c>
      <c r="AV206" s="199">
        <v>20374</v>
      </c>
      <c r="AW206" s="199">
        <v>1347</v>
      </c>
      <c r="AX206" s="199">
        <v>2156</v>
      </c>
      <c r="AY206" s="199">
        <v>23877</v>
      </c>
      <c r="AZ206" s="199">
        <v>18725</v>
      </c>
      <c r="BA206" s="181">
        <v>1</v>
      </c>
      <c r="BB206" s="511">
        <v>113</v>
      </c>
      <c r="BC206" s="181">
        <v>204</v>
      </c>
      <c r="BD206" s="181">
        <v>4</v>
      </c>
      <c r="BE206" s="199">
        <v>4627</v>
      </c>
      <c r="BG206" s="183">
        <v>2646</v>
      </c>
      <c r="BH206" s="183">
        <v>0</v>
      </c>
      <c r="BI206" s="183">
        <v>0</v>
      </c>
      <c r="BJ206" s="199">
        <v>1981</v>
      </c>
      <c r="BK206" s="199">
        <v>689</v>
      </c>
      <c r="BL206" s="199">
        <v>0</v>
      </c>
      <c r="BM206" s="183">
        <v>0</v>
      </c>
      <c r="BN206" s="199">
        <v>2670</v>
      </c>
      <c r="BP206" s="199">
        <v>12098</v>
      </c>
      <c r="BS206" s="211"/>
      <c r="BV206" s="514">
        <v>4928</v>
      </c>
      <c r="BX206" s="181">
        <v>9527</v>
      </c>
      <c r="BZ206" s="349"/>
      <c r="CB206" s="340"/>
      <c r="CC206" s="488">
        <v>21.5</v>
      </c>
      <c r="CD206" s="378"/>
      <c r="CE206" s="378"/>
      <c r="CF206" s="195"/>
      <c r="CG206" s="349"/>
      <c r="CI206" s="181">
        <v>14689</v>
      </c>
      <c r="CJ206" s="183">
        <v>0</v>
      </c>
      <c r="CK206" s="421">
        <v>17450.82522633185</v>
      </c>
      <c r="CL206" s="494">
        <v>18306.504443665544</v>
      </c>
      <c r="CM206" s="483">
        <v>2821.0111552467042</v>
      </c>
      <c r="CN206" s="483">
        <v>2646.6317172554309</v>
      </c>
      <c r="CO206" s="483">
        <v>2601.5068139559398</v>
      </c>
      <c r="CP206" s="433">
        <f t="shared" si="3"/>
        <v>-1186.82522633185</v>
      </c>
      <c r="CQ206" s="212"/>
      <c r="CR206" s="212">
        <v>-148</v>
      </c>
      <c r="CS206" s="212">
        <v>-1746</v>
      </c>
      <c r="CT206" s="183">
        <v>0</v>
      </c>
      <c r="CU206" s="183">
        <v>319</v>
      </c>
      <c r="CV206" s="485">
        <v>0</v>
      </c>
      <c r="CX206" s="422"/>
      <c r="CY206" s="475"/>
      <c r="CZ206" s="450"/>
      <c r="DA206" s="394"/>
      <c r="DB206" s="394"/>
      <c r="DC206" s="347"/>
      <c r="DD206" s="394"/>
      <c r="DE206" s="394"/>
      <c r="DF206" s="394"/>
      <c r="DG206" s="394"/>
      <c r="DH206" s="394"/>
    </row>
    <row r="207" spans="1:112" x14ac:dyDescent="0.25">
      <c r="A207" s="179">
        <v>636</v>
      </c>
      <c r="B207" s="181" t="s">
        <v>234</v>
      </c>
      <c r="C207" s="373">
        <v>8276</v>
      </c>
      <c r="D207" s="360">
        <v>21.25</v>
      </c>
      <c r="E207" s="213"/>
      <c r="G207" s="363">
        <v>9264</v>
      </c>
      <c r="H207" s="363">
        <v>58171</v>
      </c>
      <c r="I207" s="349"/>
      <c r="J207" s="363">
        <v>23906</v>
      </c>
      <c r="K207" s="363">
        <v>1862</v>
      </c>
      <c r="L207" s="363">
        <v>1881</v>
      </c>
      <c r="M207" s="363">
        <v>27649</v>
      </c>
      <c r="N207" s="363">
        <v>21073</v>
      </c>
      <c r="O207" s="363">
        <v>1</v>
      </c>
      <c r="P207" s="363">
        <v>84</v>
      </c>
      <c r="Q207" s="363">
        <v>47</v>
      </c>
      <c r="R207" s="363">
        <v>12</v>
      </c>
      <c r="S207" s="363">
        <v>-233</v>
      </c>
      <c r="U207" s="363">
        <v>2837</v>
      </c>
      <c r="V207" s="363">
        <v>0</v>
      </c>
      <c r="W207" s="363">
        <v>0</v>
      </c>
      <c r="X207" s="363">
        <v>-3070</v>
      </c>
      <c r="Y207" s="363">
        <v>-897</v>
      </c>
      <c r="Z207" s="363">
        <v>927</v>
      </c>
      <c r="AA207" s="363">
        <v>0</v>
      </c>
      <c r="AB207" s="363">
        <v>-3040</v>
      </c>
      <c r="AD207" s="363">
        <v>-60</v>
      </c>
      <c r="AG207" s="363">
        <v>-8989</v>
      </c>
      <c r="AH207" s="349"/>
      <c r="AJ207" s="363">
        <v>1155</v>
      </c>
      <c r="AL207" s="363">
        <v>21298</v>
      </c>
      <c r="AN207" s="349"/>
      <c r="AO207" s="454">
        <v>8229</v>
      </c>
      <c r="AP207" s="478">
        <v>21.25</v>
      </c>
      <c r="AQ207" s="213"/>
      <c r="AS207" s="509">
        <v>8880</v>
      </c>
      <c r="AT207" s="349">
        <v>56067</v>
      </c>
      <c r="AU207" s="480">
        <v>-47187</v>
      </c>
      <c r="AV207" s="199">
        <v>24492</v>
      </c>
      <c r="AW207" s="199">
        <v>2783</v>
      </c>
      <c r="AX207" s="199">
        <v>1690</v>
      </c>
      <c r="AY207" s="199">
        <v>28965</v>
      </c>
      <c r="AZ207" s="199">
        <v>24285</v>
      </c>
      <c r="BA207" s="181">
        <v>1</v>
      </c>
      <c r="BB207" s="511">
        <v>79</v>
      </c>
      <c r="BC207" s="181">
        <v>40</v>
      </c>
      <c r="BD207" s="181">
        <v>348</v>
      </c>
      <c r="BE207" s="199">
        <v>5677</v>
      </c>
      <c r="BG207" s="183">
        <v>2952</v>
      </c>
      <c r="BH207" s="183">
        <v>0</v>
      </c>
      <c r="BI207" s="199">
        <v>0</v>
      </c>
      <c r="BJ207" s="199">
        <v>2725</v>
      </c>
      <c r="BK207" s="183">
        <v>78</v>
      </c>
      <c r="BL207" s="183">
        <v>0</v>
      </c>
      <c r="BM207" s="183">
        <v>0</v>
      </c>
      <c r="BN207" s="199">
        <v>2803</v>
      </c>
      <c r="BP207" s="199">
        <v>2743</v>
      </c>
      <c r="BS207" s="211"/>
      <c r="BV207" s="514">
        <v>2832</v>
      </c>
      <c r="BX207" s="181">
        <v>16748</v>
      </c>
      <c r="BZ207" s="349"/>
      <c r="CB207" s="340"/>
      <c r="CC207" s="488">
        <v>21.25</v>
      </c>
      <c r="CD207" s="378"/>
      <c r="CE207" s="378"/>
      <c r="CF207" s="195"/>
      <c r="CG207" s="349"/>
      <c r="CI207" s="181">
        <v>18686</v>
      </c>
      <c r="CJ207" s="183">
        <v>0</v>
      </c>
      <c r="CK207" s="421">
        <v>22524.005878209795</v>
      </c>
      <c r="CL207" s="494">
        <v>22438.068790047579</v>
      </c>
      <c r="CM207" s="483">
        <v>7500.2547242402161</v>
      </c>
      <c r="CN207" s="483">
        <v>7733.4517135499082</v>
      </c>
      <c r="CO207" s="483">
        <v>7704.4812947309911</v>
      </c>
      <c r="CP207" s="433">
        <f t="shared" si="3"/>
        <v>-1451.0058782097949</v>
      </c>
      <c r="CQ207" s="212"/>
      <c r="CR207" s="212">
        <v>-222</v>
      </c>
      <c r="CS207" s="212">
        <v>-1183</v>
      </c>
      <c r="CT207" s="183">
        <v>0</v>
      </c>
      <c r="CU207" s="183">
        <v>2712</v>
      </c>
      <c r="CV207" s="485">
        <v>388</v>
      </c>
      <c r="CX207" s="422"/>
      <c r="CY207" s="475"/>
      <c r="CZ207" s="450"/>
      <c r="DA207" s="394"/>
      <c r="DB207" s="394"/>
      <c r="DC207" s="347"/>
      <c r="DD207" s="394"/>
      <c r="DE207" s="394"/>
      <c r="DF207" s="394"/>
      <c r="DG207" s="394"/>
      <c r="DH207" s="394"/>
    </row>
    <row r="208" spans="1:112" x14ac:dyDescent="0.25">
      <c r="A208" s="179">
        <v>678</v>
      </c>
      <c r="B208" s="181" t="s">
        <v>235</v>
      </c>
      <c r="C208" s="373">
        <v>24679</v>
      </c>
      <c r="D208" s="360">
        <v>21</v>
      </c>
      <c r="E208" s="213"/>
      <c r="G208" s="363">
        <v>18240</v>
      </c>
      <c r="H208" s="363">
        <v>171111</v>
      </c>
      <c r="I208" s="349"/>
      <c r="J208" s="363">
        <v>81506</v>
      </c>
      <c r="K208" s="363">
        <v>4015</v>
      </c>
      <c r="L208" s="363">
        <v>7258</v>
      </c>
      <c r="M208" s="363">
        <v>92779</v>
      </c>
      <c r="N208" s="363">
        <v>58318</v>
      </c>
      <c r="O208" s="363">
        <v>488</v>
      </c>
      <c r="P208" s="363">
        <v>1181</v>
      </c>
      <c r="Q208" s="363">
        <v>5964</v>
      </c>
      <c r="R208" s="363">
        <v>1845</v>
      </c>
      <c r="S208" s="363">
        <v>1652</v>
      </c>
      <c r="U208" s="363">
        <v>8190</v>
      </c>
      <c r="V208" s="363">
        <v>357</v>
      </c>
      <c r="W208" s="363">
        <v>0</v>
      </c>
      <c r="X208" s="363">
        <v>-6181</v>
      </c>
      <c r="Y208" s="363">
        <v>0</v>
      </c>
      <c r="Z208" s="363">
        <v>0</v>
      </c>
      <c r="AA208" s="363">
        <v>0</v>
      </c>
      <c r="AB208" s="363">
        <v>-6181</v>
      </c>
      <c r="AD208" s="363">
        <v>4754</v>
      </c>
      <c r="AG208" s="363">
        <v>-10368</v>
      </c>
      <c r="AH208" s="349"/>
      <c r="AJ208" s="363">
        <v>44889</v>
      </c>
      <c r="AL208" s="363">
        <v>159883</v>
      </c>
      <c r="AN208" s="349"/>
      <c r="AO208" s="454">
        <v>24353</v>
      </c>
      <c r="AP208" s="478">
        <v>21</v>
      </c>
      <c r="AQ208" s="213"/>
      <c r="AS208" s="509">
        <v>16430</v>
      </c>
      <c r="AT208" s="349">
        <v>169619</v>
      </c>
      <c r="AU208" s="480">
        <v>-153189</v>
      </c>
      <c r="AV208" s="199">
        <v>86705</v>
      </c>
      <c r="AW208" s="199">
        <v>5964</v>
      </c>
      <c r="AX208" s="199">
        <v>6458</v>
      </c>
      <c r="AY208" s="199">
        <v>99127</v>
      </c>
      <c r="AZ208" s="199">
        <v>70583</v>
      </c>
      <c r="BA208" s="181">
        <v>530</v>
      </c>
      <c r="BB208" s="511">
        <v>1132</v>
      </c>
      <c r="BC208" s="181">
        <v>4499</v>
      </c>
      <c r="BD208" s="181">
        <v>2186</v>
      </c>
      <c r="BE208" s="199">
        <v>18232</v>
      </c>
      <c r="BG208" s="183">
        <v>10960</v>
      </c>
      <c r="BH208" s="199">
        <v>0</v>
      </c>
      <c r="BI208" s="199">
        <v>1024</v>
      </c>
      <c r="BJ208" s="199">
        <v>6248</v>
      </c>
      <c r="BK208" s="199">
        <v>0</v>
      </c>
      <c r="BL208" s="183">
        <v>-3500</v>
      </c>
      <c r="BM208" s="183">
        <v>0</v>
      </c>
      <c r="BN208" s="199">
        <v>2748</v>
      </c>
      <c r="BP208" s="199">
        <v>7502</v>
      </c>
      <c r="BS208" s="211"/>
      <c r="BV208" s="514">
        <v>46287</v>
      </c>
      <c r="BX208" s="181">
        <v>171020</v>
      </c>
      <c r="BZ208" s="349"/>
      <c r="CB208" s="340"/>
      <c r="CC208" s="488">
        <v>21</v>
      </c>
      <c r="CD208" s="378"/>
      <c r="CE208" s="378"/>
      <c r="CF208" s="195"/>
      <c r="CG208" s="349"/>
      <c r="CH208" s="347"/>
      <c r="CI208" s="181">
        <v>23465</v>
      </c>
      <c r="CJ208" s="183">
        <v>2000</v>
      </c>
      <c r="CK208" s="421">
        <v>65221.588189210925</v>
      </c>
      <c r="CL208" s="494">
        <v>68482.761498825799</v>
      </c>
      <c r="CM208" s="483">
        <v>20283.339439417588</v>
      </c>
      <c r="CN208" s="483">
        <v>19489.89414511637</v>
      </c>
      <c r="CO208" s="483">
        <v>18898.137023550749</v>
      </c>
      <c r="CP208" s="433">
        <f t="shared" si="3"/>
        <v>-6903.5881892109246</v>
      </c>
      <c r="CQ208" s="212"/>
      <c r="CR208" s="212">
        <v>-169</v>
      </c>
      <c r="CS208" s="212">
        <v>-30955</v>
      </c>
      <c r="CT208" s="183">
        <v>19</v>
      </c>
      <c r="CU208" s="183">
        <v>249</v>
      </c>
      <c r="CV208" s="485">
        <v>1952</v>
      </c>
      <c r="CX208" s="422"/>
      <c r="CY208" s="475"/>
      <c r="CZ208" s="450"/>
      <c r="DA208" s="394"/>
      <c r="DB208" s="394"/>
      <c r="DC208" s="347"/>
      <c r="DD208" s="394"/>
      <c r="DE208" s="394"/>
      <c r="DF208" s="394"/>
      <c r="DG208" s="394"/>
      <c r="DH208" s="394"/>
    </row>
    <row r="209" spans="1:112" x14ac:dyDescent="0.25">
      <c r="A209" s="179">
        <v>710</v>
      </c>
      <c r="B209" s="181" t="s">
        <v>363</v>
      </c>
      <c r="C209" s="373">
        <v>27536</v>
      </c>
      <c r="D209" s="360">
        <v>22</v>
      </c>
      <c r="E209" s="213"/>
      <c r="G209" s="363">
        <v>29064</v>
      </c>
      <c r="H209" s="363">
        <v>197936</v>
      </c>
      <c r="I209" s="349"/>
      <c r="J209" s="363">
        <v>98557</v>
      </c>
      <c r="K209" s="363">
        <v>4120</v>
      </c>
      <c r="L209" s="363">
        <v>11418</v>
      </c>
      <c r="M209" s="363">
        <v>114095</v>
      </c>
      <c r="N209" s="363">
        <v>54500</v>
      </c>
      <c r="O209" s="363">
        <v>1687</v>
      </c>
      <c r="P209" s="363">
        <v>1358</v>
      </c>
      <c r="Q209" s="363">
        <v>458</v>
      </c>
      <c r="R209" s="363">
        <v>4</v>
      </c>
      <c r="S209" s="363">
        <v>506</v>
      </c>
      <c r="U209" s="363">
        <v>6680</v>
      </c>
      <c r="V209" s="363">
        <v>0</v>
      </c>
      <c r="W209" s="363">
        <v>0</v>
      </c>
      <c r="X209" s="363">
        <v>-6174</v>
      </c>
      <c r="Y209" s="363">
        <v>0</v>
      </c>
      <c r="Z209" s="363">
        <v>0</v>
      </c>
      <c r="AA209" s="363">
        <v>0</v>
      </c>
      <c r="AB209" s="363">
        <v>-6174</v>
      </c>
      <c r="AD209" s="363">
        <v>-11206</v>
      </c>
      <c r="AG209" s="363">
        <v>-10986</v>
      </c>
      <c r="AH209" s="349"/>
      <c r="AJ209" s="363">
        <v>3428</v>
      </c>
      <c r="AL209" s="363">
        <v>115792</v>
      </c>
      <c r="AN209" s="349"/>
      <c r="AO209" s="454">
        <v>27528</v>
      </c>
      <c r="AP209" s="478">
        <v>22</v>
      </c>
      <c r="AQ209" s="213"/>
      <c r="AS209" s="509">
        <v>29971</v>
      </c>
      <c r="AT209" s="349">
        <v>201000</v>
      </c>
      <c r="AU209" s="480">
        <v>-171029</v>
      </c>
      <c r="AV209" s="199">
        <v>102828</v>
      </c>
      <c r="AW209" s="199">
        <v>4138</v>
      </c>
      <c r="AX209" s="199">
        <v>10330</v>
      </c>
      <c r="AY209" s="199">
        <v>117296</v>
      </c>
      <c r="AZ209" s="199">
        <v>69699</v>
      </c>
      <c r="BA209" s="181">
        <v>1642</v>
      </c>
      <c r="BB209" s="511">
        <v>816</v>
      </c>
      <c r="BC209" s="181">
        <v>485</v>
      </c>
      <c r="BD209" s="181">
        <v>5</v>
      </c>
      <c r="BE209" s="199">
        <v>17272</v>
      </c>
      <c r="BG209" s="183">
        <v>7279</v>
      </c>
      <c r="BH209" s="183">
        <v>0</v>
      </c>
      <c r="BI209" s="183">
        <v>0</v>
      </c>
      <c r="BJ209" s="199">
        <v>9993</v>
      </c>
      <c r="BK209" s="183">
        <v>0</v>
      </c>
      <c r="BL209" s="183">
        <v>0</v>
      </c>
      <c r="BM209" s="183">
        <v>0</v>
      </c>
      <c r="BN209" s="199">
        <v>9993</v>
      </c>
      <c r="BP209" s="199">
        <v>-1213</v>
      </c>
      <c r="BS209" s="211"/>
      <c r="BV209" s="514">
        <v>5378</v>
      </c>
      <c r="BX209" s="181">
        <v>111170</v>
      </c>
      <c r="BZ209" s="349"/>
      <c r="CB209" s="340"/>
      <c r="CC209" s="488">
        <v>22</v>
      </c>
      <c r="CD209" s="378"/>
      <c r="CE209" s="378"/>
      <c r="CF209" s="195"/>
      <c r="CG209" s="349"/>
      <c r="CH209" s="347"/>
      <c r="CI209" s="181">
        <v>47491</v>
      </c>
      <c r="CJ209" s="183">
        <v>0</v>
      </c>
      <c r="CK209" s="421">
        <v>63955.030246406721</v>
      </c>
      <c r="CL209" s="494">
        <v>69191.854629254405</v>
      </c>
      <c r="CM209" s="483">
        <v>10969.50282872012</v>
      </c>
      <c r="CN209" s="483">
        <v>9724.7849523315472</v>
      </c>
      <c r="CO209" s="483">
        <v>9783.83033012552</v>
      </c>
      <c r="CP209" s="433">
        <f t="shared" si="3"/>
        <v>-9455.0302464067208</v>
      </c>
      <c r="CQ209" s="212"/>
      <c r="CR209" s="212">
        <v>-942</v>
      </c>
      <c r="CS209" s="212">
        <v>-12737</v>
      </c>
      <c r="CT209" s="183">
        <v>426</v>
      </c>
      <c r="CU209" s="183">
        <v>2249</v>
      </c>
      <c r="CV209" s="485">
        <v>20</v>
      </c>
      <c r="CX209" s="422"/>
      <c r="CY209" s="475"/>
      <c r="CZ209" s="450"/>
      <c r="DA209" s="394"/>
      <c r="DB209" s="394"/>
      <c r="DC209" s="347"/>
      <c r="DD209" s="394"/>
      <c r="DE209" s="394"/>
      <c r="DF209" s="394"/>
      <c r="DG209" s="394"/>
      <c r="DH209" s="394"/>
    </row>
    <row r="210" spans="1:112" x14ac:dyDescent="0.25">
      <c r="A210" s="179">
        <v>680</v>
      </c>
      <c r="B210" s="181" t="s">
        <v>236</v>
      </c>
      <c r="C210" s="373">
        <v>24056</v>
      </c>
      <c r="D210" s="360">
        <v>19.75</v>
      </c>
      <c r="E210" s="213"/>
      <c r="G210" s="363">
        <v>42524</v>
      </c>
      <c r="H210" s="363">
        <v>171619</v>
      </c>
      <c r="I210" s="349"/>
      <c r="J210" s="363">
        <v>85900</v>
      </c>
      <c r="K210" s="363">
        <v>5411</v>
      </c>
      <c r="L210" s="363">
        <v>7789</v>
      </c>
      <c r="M210" s="363">
        <v>99100</v>
      </c>
      <c r="N210" s="363">
        <v>28448</v>
      </c>
      <c r="O210" s="363">
        <v>645</v>
      </c>
      <c r="P210" s="363">
        <v>465</v>
      </c>
      <c r="Q210" s="363">
        <v>2138</v>
      </c>
      <c r="R210" s="363">
        <v>12</v>
      </c>
      <c r="S210" s="363">
        <v>759</v>
      </c>
      <c r="U210" s="363">
        <v>8053</v>
      </c>
      <c r="V210" s="363">
        <v>1633</v>
      </c>
      <c r="W210" s="363">
        <v>0</v>
      </c>
      <c r="X210" s="363">
        <v>-5661</v>
      </c>
      <c r="Y210" s="363">
        <v>0</v>
      </c>
      <c r="Z210" s="363">
        <v>0</v>
      </c>
      <c r="AA210" s="363">
        <v>0</v>
      </c>
      <c r="AB210" s="363">
        <v>-5661</v>
      </c>
      <c r="AD210" s="363">
        <v>9851</v>
      </c>
      <c r="AG210" s="363">
        <v>-7980</v>
      </c>
      <c r="AH210" s="349"/>
      <c r="AJ210" s="363">
        <v>5053</v>
      </c>
      <c r="AL210" s="363">
        <v>63528</v>
      </c>
      <c r="AN210" s="349"/>
      <c r="AO210" s="454">
        <v>24407</v>
      </c>
      <c r="AP210" s="478">
        <v>19.75</v>
      </c>
      <c r="AQ210" s="213"/>
      <c r="AS210" s="509">
        <v>40171</v>
      </c>
      <c r="AT210" s="349">
        <v>170240</v>
      </c>
      <c r="AU210" s="480">
        <v>-130069</v>
      </c>
      <c r="AV210" s="199">
        <v>90398</v>
      </c>
      <c r="AW210" s="199">
        <v>5804</v>
      </c>
      <c r="AX210" s="199">
        <v>7141</v>
      </c>
      <c r="AY210" s="199">
        <v>103343</v>
      </c>
      <c r="AZ210" s="199">
        <v>39125</v>
      </c>
      <c r="BA210" s="181">
        <v>629</v>
      </c>
      <c r="BB210" s="511">
        <v>330</v>
      </c>
      <c r="BC210" s="181">
        <v>1139</v>
      </c>
      <c r="BD210" s="181">
        <v>11</v>
      </c>
      <c r="BE210" s="199">
        <v>13826</v>
      </c>
      <c r="BG210" s="183">
        <v>8174</v>
      </c>
      <c r="BH210" s="199">
        <v>1636</v>
      </c>
      <c r="BI210" s="199">
        <v>0</v>
      </c>
      <c r="BJ210" s="199">
        <v>7288</v>
      </c>
      <c r="BK210" s="199">
        <v>0</v>
      </c>
      <c r="BL210" s="199">
        <v>0</v>
      </c>
      <c r="BM210" s="183">
        <v>0</v>
      </c>
      <c r="BN210" s="199">
        <v>7288</v>
      </c>
      <c r="BP210" s="199">
        <v>17138</v>
      </c>
      <c r="BS210" s="211"/>
      <c r="BV210" s="514">
        <v>9473</v>
      </c>
      <c r="BX210" s="181">
        <v>57094</v>
      </c>
      <c r="BZ210" s="349"/>
      <c r="CB210" s="340"/>
      <c r="CC210" s="488">
        <v>19.75</v>
      </c>
      <c r="CD210" s="378"/>
      <c r="CE210" s="378"/>
      <c r="CF210" s="195"/>
      <c r="CG210" s="349"/>
      <c r="CI210" s="181">
        <v>22442</v>
      </c>
      <c r="CJ210" s="183">
        <v>0</v>
      </c>
      <c r="CK210" s="421">
        <v>35135.512262061071</v>
      </c>
      <c r="CL210" s="494">
        <v>38485.914520388302</v>
      </c>
      <c r="CM210" s="483">
        <v>8255.6361960688446</v>
      </c>
      <c r="CN210" s="483">
        <v>7434.8769609860356</v>
      </c>
      <c r="CO210" s="483">
        <v>7547.0080590137186</v>
      </c>
      <c r="CP210" s="433">
        <f t="shared" si="3"/>
        <v>-6687.5122620610709</v>
      </c>
      <c r="CQ210" s="212"/>
      <c r="CR210" s="212">
        <v>-2508</v>
      </c>
      <c r="CS210" s="212">
        <v>-9312</v>
      </c>
      <c r="CT210" s="183">
        <v>177</v>
      </c>
      <c r="CU210" s="183">
        <v>4481</v>
      </c>
      <c r="CV210" s="485">
        <v>2700</v>
      </c>
      <c r="CX210" s="422"/>
      <c r="CY210" s="475"/>
      <c r="CZ210" s="450"/>
      <c r="DA210" s="394"/>
      <c r="DB210" s="394"/>
      <c r="DC210" s="347"/>
      <c r="DD210" s="394"/>
      <c r="DE210" s="394"/>
      <c r="DF210" s="394"/>
      <c r="DG210" s="394"/>
      <c r="DH210" s="394"/>
    </row>
    <row r="211" spans="1:112" x14ac:dyDescent="0.25">
      <c r="A211" s="179">
        <v>681</v>
      </c>
      <c r="B211" s="181" t="s">
        <v>237</v>
      </c>
      <c r="C211" s="373">
        <v>3431</v>
      </c>
      <c r="D211" s="360">
        <v>21.5</v>
      </c>
      <c r="E211" s="213"/>
      <c r="G211" s="363">
        <v>8601</v>
      </c>
      <c r="H211" s="363">
        <v>29995</v>
      </c>
      <c r="I211" s="349"/>
      <c r="J211" s="363">
        <v>9179</v>
      </c>
      <c r="K211" s="363">
        <v>1143</v>
      </c>
      <c r="L211" s="363">
        <v>1192</v>
      </c>
      <c r="M211" s="363">
        <v>11514</v>
      </c>
      <c r="N211" s="363">
        <v>12012</v>
      </c>
      <c r="O211" s="363">
        <v>25</v>
      </c>
      <c r="P211" s="363">
        <v>123</v>
      </c>
      <c r="Q211" s="363">
        <v>384</v>
      </c>
      <c r="R211" s="363">
        <v>25</v>
      </c>
      <c r="S211" s="363">
        <v>2393</v>
      </c>
      <c r="U211" s="363">
        <v>1033</v>
      </c>
      <c r="V211" s="363">
        <v>0</v>
      </c>
      <c r="W211" s="363">
        <v>0</v>
      </c>
      <c r="X211" s="363">
        <v>1360</v>
      </c>
      <c r="Y211" s="363">
        <v>0</v>
      </c>
      <c r="Z211" s="363">
        <v>0</v>
      </c>
      <c r="AA211" s="363">
        <v>0</v>
      </c>
      <c r="AB211" s="363">
        <v>1360</v>
      </c>
      <c r="AD211" s="363">
        <v>684</v>
      </c>
      <c r="AG211" s="363">
        <v>285</v>
      </c>
      <c r="AH211" s="349"/>
      <c r="AJ211" s="363">
        <v>2188</v>
      </c>
      <c r="AL211" s="363">
        <v>11102</v>
      </c>
      <c r="AN211" s="349"/>
      <c r="AO211" s="454">
        <v>3364</v>
      </c>
      <c r="AP211" s="478">
        <v>22</v>
      </c>
      <c r="AQ211" s="213"/>
      <c r="AS211" s="509">
        <v>7709</v>
      </c>
      <c r="AT211" s="349">
        <v>30155</v>
      </c>
      <c r="AU211" s="480">
        <v>-22446</v>
      </c>
      <c r="AV211" s="199">
        <v>9618</v>
      </c>
      <c r="AW211" s="199">
        <v>1315</v>
      </c>
      <c r="AX211" s="199">
        <v>1226</v>
      </c>
      <c r="AY211" s="199">
        <v>12159</v>
      </c>
      <c r="AZ211" s="199">
        <v>12682</v>
      </c>
      <c r="BA211" s="181">
        <v>26</v>
      </c>
      <c r="BB211" s="511">
        <v>92</v>
      </c>
      <c r="BC211" s="181">
        <v>403</v>
      </c>
      <c r="BD211" s="181">
        <v>2</v>
      </c>
      <c r="BE211" s="199">
        <v>2730</v>
      </c>
      <c r="BG211" s="183">
        <v>1674</v>
      </c>
      <c r="BH211" s="199">
        <v>0</v>
      </c>
      <c r="BI211" s="199">
        <v>0</v>
      </c>
      <c r="BJ211" s="199">
        <v>1056</v>
      </c>
      <c r="BK211" s="199">
        <v>0</v>
      </c>
      <c r="BL211" s="183">
        <v>0</v>
      </c>
      <c r="BM211" s="199">
        <v>0</v>
      </c>
      <c r="BN211" s="199">
        <v>1056</v>
      </c>
      <c r="BP211" s="199">
        <v>1741</v>
      </c>
      <c r="BS211" s="211"/>
      <c r="BV211" s="514">
        <v>2626</v>
      </c>
      <c r="BX211" s="181">
        <v>8639</v>
      </c>
      <c r="BZ211" s="349"/>
      <c r="CB211" s="340"/>
      <c r="CC211" s="488">
        <v>22</v>
      </c>
      <c r="CD211" s="378"/>
      <c r="CE211" s="378"/>
      <c r="CF211" s="195"/>
      <c r="CG211" s="349"/>
      <c r="CI211" s="181">
        <v>12158</v>
      </c>
      <c r="CJ211" s="183">
        <v>0</v>
      </c>
      <c r="CK211" s="421">
        <v>11944.943797925696</v>
      </c>
      <c r="CL211" s="494">
        <v>11989.060650256224</v>
      </c>
      <c r="CM211" s="483">
        <v>1690.8782575509595</v>
      </c>
      <c r="CN211" s="483">
        <v>1666.3907771748072</v>
      </c>
      <c r="CO211" s="483">
        <v>1463.6040492068573</v>
      </c>
      <c r="CP211" s="433">
        <f t="shared" si="3"/>
        <v>67.056202074303656</v>
      </c>
      <c r="CQ211" s="212"/>
      <c r="CR211" s="212">
        <v>-706</v>
      </c>
      <c r="CS211" s="212">
        <v>-800</v>
      </c>
      <c r="CT211" s="183">
        <v>170</v>
      </c>
      <c r="CU211" s="183">
        <v>953</v>
      </c>
      <c r="CV211" s="485">
        <v>22</v>
      </c>
      <c r="CX211" s="422"/>
      <c r="CY211" s="475"/>
      <c r="CZ211" s="450"/>
      <c r="DA211" s="394"/>
      <c r="DB211" s="394"/>
      <c r="DC211" s="347"/>
      <c r="DD211" s="394"/>
      <c r="DE211" s="394"/>
      <c r="DF211" s="394"/>
      <c r="DG211" s="394"/>
      <c r="DH211" s="394"/>
    </row>
    <row r="212" spans="1:112" x14ac:dyDescent="0.25">
      <c r="A212" s="179">
        <v>683</v>
      </c>
      <c r="B212" s="181" t="s">
        <v>238</v>
      </c>
      <c r="C212" s="373">
        <v>3783</v>
      </c>
      <c r="D212" s="360">
        <v>19.75</v>
      </c>
      <c r="E212" s="213"/>
      <c r="G212" s="363">
        <v>3723</v>
      </c>
      <c r="H212" s="363">
        <v>33340</v>
      </c>
      <c r="I212" s="349"/>
      <c r="J212" s="363">
        <v>8100</v>
      </c>
      <c r="K212" s="363">
        <v>646</v>
      </c>
      <c r="L212" s="363">
        <v>1026</v>
      </c>
      <c r="M212" s="363">
        <v>9772</v>
      </c>
      <c r="N212" s="363">
        <v>20680</v>
      </c>
      <c r="O212" s="363">
        <v>51</v>
      </c>
      <c r="P212" s="363">
        <v>62</v>
      </c>
      <c r="Q212" s="363">
        <v>291</v>
      </c>
      <c r="R212" s="363">
        <v>0</v>
      </c>
      <c r="S212" s="363">
        <v>1115</v>
      </c>
      <c r="U212" s="363">
        <v>2244</v>
      </c>
      <c r="V212" s="363">
        <v>0</v>
      </c>
      <c r="W212" s="363">
        <v>0</v>
      </c>
      <c r="X212" s="363">
        <v>-1129</v>
      </c>
      <c r="Y212" s="363">
        <v>393</v>
      </c>
      <c r="Z212" s="363">
        <v>0</v>
      </c>
      <c r="AA212" s="363">
        <v>0</v>
      </c>
      <c r="AB212" s="363">
        <v>-736</v>
      </c>
      <c r="AD212" s="363">
        <v>11427</v>
      </c>
      <c r="AG212" s="363">
        <v>-1053</v>
      </c>
      <c r="AH212" s="349"/>
      <c r="AJ212" s="363">
        <v>11361</v>
      </c>
      <c r="AL212" s="363">
        <v>3380</v>
      </c>
      <c r="AN212" s="349"/>
      <c r="AO212" s="454">
        <v>3712</v>
      </c>
      <c r="AP212" s="478">
        <v>19.75</v>
      </c>
      <c r="AQ212" s="213"/>
      <c r="AS212" s="509">
        <v>3523</v>
      </c>
      <c r="AT212" s="349">
        <v>33783</v>
      </c>
      <c r="AU212" s="480">
        <v>-30260</v>
      </c>
      <c r="AV212" s="199">
        <v>8589</v>
      </c>
      <c r="AW212" s="199">
        <v>741</v>
      </c>
      <c r="AX212" s="199">
        <v>902</v>
      </c>
      <c r="AY212" s="199">
        <v>10232</v>
      </c>
      <c r="AZ212" s="199">
        <v>22065</v>
      </c>
      <c r="BA212" s="181">
        <v>45</v>
      </c>
      <c r="BB212" s="511">
        <v>51</v>
      </c>
      <c r="BC212" s="181">
        <v>114</v>
      </c>
      <c r="BD212" s="181">
        <v>41</v>
      </c>
      <c r="BE212" s="199">
        <v>2104</v>
      </c>
      <c r="BG212" s="183">
        <v>1110</v>
      </c>
      <c r="BH212" s="183">
        <v>0</v>
      </c>
      <c r="BI212" s="183">
        <v>0</v>
      </c>
      <c r="BJ212" s="199">
        <v>994</v>
      </c>
      <c r="BK212" s="183">
        <v>123</v>
      </c>
      <c r="BL212" s="183">
        <v>0</v>
      </c>
      <c r="BM212" s="183">
        <v>0</v>
      </c>
      <c r="BN212" s="199">
        <v>1117</v>
      </c>
      <c r="BP212" s="199">
        <v>12544</v>
      </c>
      <c r="BS212" s="211"/>
      <c r="BV212" s="514">
        <v>11801</v>
      </c>
      <c r="BX212" s="181">
        <v>3035</v>
      </c>
      <c r="BZ212" s="349"/>
      <c r="CB212" s="340"/>
      <c r="CC212" s="488">
        <v>19.75</v>
      </c>
      <c r="CD212" s="378"/>
      <c r="CE212" s="378"/>
      <c r="CF212" s="195"/>
      <c r="CG212" s="349"/>
      <c r="CI212" s="181">
        <v>20536</v>
      </c>
      <c r="CJ212" s="183">
        <v>0</v>
      </c>
      <c r="CK212" s="421">
        <v>21277.691362302579</v>
      </c>
      <c r="CL212" s="494">
        <v>21394.285369490619</v>
      </c>
      <c r="CM212" s="483">
        <v>6949.7905757582093</v>
      </c>
      <c r="CN212" s="483">
        <v>7006.8254920623458</v>
      </c>
      <c r="CO212" s="483">
        <v>7093.0663087858265</v>
      </c>
      <c r="CP212" s="433">
        <f t="shared" si="3"/>
        <v>-597.69136230257936</v>
      </c>
      <c r="CQ212" s="212"/>
      <c r="CR212" s="212">
        <v>-4</v>
      </c>
      <c r="CS212" s="212">
        <v>-1148</v>
      </c>
      <c r="CT212" s="183">
        <v>0</v>
      </c>
      <c r="CU212" s="183">
        <v>6</v>
      </c>
      <c r="CV212" s="485">
        <v>-398</v>
      </c>
      <c r="CX212" s="422"/>
      <c r="CY212" s="475"/>
      <c r="CZ212" s="450"/>
      <c r="DA212" s="394"/>
      <c r="DB212" s="394"/>
      <c r="DC212" s="347"/>
      <c r="DD212" s="394"/>
      <c r="DE212" s="394"/>
      <c r="DF212" s="394"/>
      <c r="DG212" s="394"/>
      <c r="DH212" s="394"/>
    </row>
    <row r="213" spans="1:112" x14ac:dyDescent="0.25">
      <c r="A213" s="179">
        <v>684</v>
      </c>
      <c r="B213" s="181" t="s">
        <v>239</v>
      </c>
      <c r="C213" s="373">
        <v>39205</v>
      </c>
      <c r="D213" s="360">
        <v>20</v>
      </c>
      <c r="E213" s="213"/>
      <c r="G213" s="363">
        <v>51217</v>
      </c>
      <c r="H213" s="363">
        <v>265687</v>
      </c>
      <c r="I213" s="349"/>
      <c r="J213" s="363">
        <v>147238</v>
      </c>
      <c r="K213" s="363">
        <v>13614</v>
      </c>
      <c r="L213" s="363">
        <v>8751</v>
      </c>
      <c r="M213" s="363">
        <v>169603</v>
      </c>
      <c r="N213" s="363">
        <v>44390</v>
      </c>
      <c r="O213" s="363">
        <v>2377</v>
      </c>
      <c r="P213" s="363">
        <v>288</v>
      </c>
      <c r="Q213" s="363">
        <v>1220</v>
      </c>
      <c r="R213" s="363">
        <v>102</v>
      </c>
      <c r="S213" s="363">
        <v>2730</v>
      </c>
      <c r="U213" s="363">
        <v>18109</v>
      </c>
      <c r="V213" s="363">
        <v>1590</v>
      </c>
      <c r="W213" s="363">
        <v>0</v>
      </c>
      <c r="X213" s="363">
        <v>-13789</v>
      </c>
      <c r="Y213" s="363">
        <v>64</v>
      </c>
      <c r="Z213" s="363">
        <v>0</v>
      </c>
      <c r="AA213" s="363">
        <v>0</v>
      </c>
      <c r="AB213" s="363">
        <v>-13725</v>
      </c>
      <c r="AD213" s="363">
        <v>93896</v>
      </c>
      <c r="AG213" s="363">
        <v>-26073</v>
      </c>
      <c r="AH213" s="349"/>
      <c r="AJ213" s="363">
        <v>18364</v>
      </c>
      <c r="AL213" s="363">
        <v>60926</v>
      </c>
      <c r="AN213" s="349"/>
      <c r="AO213" s="454">
        <v>39040</v>
      </c>
      <c r="AP213" s="478">
        <v>21</v>
      </c>
      <c r="AQ213" s="213"/>
      <c r="AS213" s="509">
        <v>50910</v>
      </c>
      <c r="AT213" s="349">
        <v>266240</v>
      </c>
      <c r="AU213" s="480">
        <v>-215330</v>
      </c>
      <c r="AV213" s="199">
        <v>159165</v>
      </c>
      <c r="AW213" s="199">
        <v>16221</v>
      </c>
      <c r="AX213" s="199">
        <v>7954</v>
      </c>
      <c r="AY213" s="199">
        <v>183340</v>
      </c>
      <c r="AZ213" s="199">
        <v>66338</v>
      </c>
      <c r="BA213" s="181">
        <v>2795</v>
      </c>
      <c r="BB213" s="511">
        <v>379</v>
      </c>
      <c r="BC213" s="181">
        <v>735</v>
      </c>
      <c r="BD213" s="181">
        <v>10</v>
      </c>
      <c r="BE213" s="199">
        <v>37489</v>
      </c>
      <c r="BG213" s="183">
        <v>18461</v>
      </c>
      <c r="BH213" s="183">
        <v>550</v>
      </c>
      <c r="BI213" s="183">
        <v>0</v>
      </c>
      <c r="BJ213" s="199">
        <v>19578</v>
      </c>
      <c r="BK213" s="199">
        <v>64</v>
      </c>
      <c r="BL213" s="183">
        <v>-15000</v>
      </c>
      <c r="BM213" s="183">
        <v>0</v>
      </c>
      <c r="BN213" s="199">
        <v>4642</v>
      </c>
      <c r="BP213" s="199">
        <v>98538</v>
      </c>
      <c r="BS213" s="211"/>
      <c r="BV213" s="514">
        <v>29718</v>
      </c>
      <c r="BX213" s="181">
        <v>50334</v>
      </c>
      <c r="BZ213" s="349"/>
      <c r="CB213" s="340"/>
      <c r="CC213" s="488">
        <v>21</v>
      </c>
      <c r="CD213" s="378"/>
      <c r="CE213" s="378"/>
      <c r="CF213" s="195"/>
      <c r="CG213" s="349"/>
      <c r="CI213" s="181">
        <v>43304</v>
      </c>
      <c r="CJ213" s="183">
        <v>0</v>
      </c>
      <c r="CK213" s="421">
        <v>61036.510133626311</v>
      </c>
      <c r="CL213" s="494">
        <v>65597.837739008581</v>
      </c>
      <c r="CM213" s="483">
        <v>17454.6210770982</v>
      </c>
      <c r="CN213" s="483">
        <v>17763.509336534917</v>
      </c>
      <c r="CO213" s="483">
        <v>17911.547764173331</v>
      </c>
      <c r="CP213" s="433">
        <f t="shared" si="3"/>
        <v>-16646.510133626311</v>
      </c>
      <c r="CQ213" s="212"/>
      <c r="CR213" s="212">
        <v>-2735</v>
      </c>
      <c r="CS213" s="212">
        <v>-18268</v>
      </c>
      <c r="CT213" s="183">
        <v>387</v>
      </c>
      <c r="CU213" s="183">
        <v>2761</v>
      </c>
      <c r="CV213" s="485">
        <v>101</v>
      </c>
      <c r="CX213" s="422"/>
      <c r="CY213" s="475"/>
      <c r="CZ213" s="450"/>
      <c r="DA213" s="394"/>
      <c r="DB213" s="394"/>
      <c r="DC213" s="347"/>
      <c r="DD213" s="394"/>
      <c r="DE213" s="394"/>
      <c r="DF213" s="394"/>
      <c r="DG213" s="394"/>
      <c r="DH213" s="394"/>
    </row>
    <row r="214" spans="1:112" x14ac:dyDescent="0.25">
      <c r="A214" s="179">
        <v>686</v>
      </c>
      <c r="B214" s="181" t="s">
        <v>240</v>
      </c>
      <c r="C214" s="373">
        <v>3121</v>
      </c>
      <c r="D214" s="360">
        <v>22</v>
      </c>
      <c r="E214" s="213"/>
      <c r="G214" s="363">
        <v>3255</v>
      </c>
      <c r="H214" s="363">
        <v>25818</v>
      </c>
      <c r="I214" s="349"/>
      <c r="J214" s="363">
        <v>8603</v>
      </c>
      <c r="K214" s="363">
        <v>762</v>
      </c>
      <c r="L214" s="363">
        <v>1159</v>
      </c>
      <c r="M214" s="363">
        <v>10524</v>
      </c>
      <c r="N214" s="363">
        <v>11663</v>
      </c>
      <c r="O214" s="363">
        <v>0</v>
      </c>
      <c r="P214" s="363">
        <v>137</v>
      </c>
      <c r="Q214" s="363">
        <v>347</v>
      </c>
      <c r="R214" s="363">
        <v>1</v>
      </c>
      <c r="S214" s="363">
        <v>-167</v>
      </c>
      <c r="U214" s="363">
        <v>986</v>
      </c>
      <c r="V214" s="363">
        <v>0</v>
      </c>
      <c r="W214" s="363">
        <v>13</v>
      </c>
      <c r="X214" s="363">
        <v>-1166</v>
      </c>
      <c r="Y214" s="363">
        <v>0</v>
      </c>
      <c r="Z214" s="363">
        <v>0</v>
      </c>
      <c r="AA214" s="363">
        <v>0</v>
      </c>
      <c r="AB214" s="363">
        <v>-1166</v>
      </c>
      <c r="AD214" s="363">
        <v>4102</v>
      </c>
      <c r="AG214" s="363">
        <v>-2186</v>
      </c>
      <c r="AH214" s="349"/>
      <c r="AJ214" s="363">
        <v>167</v>
      </c>
      <c r="AL214" s="363">
        <v>12343</v>
      </c>
      <c r="AN214" s="349"/>
      <c r="AO214" s="454">
        <v>3053</v>
      </c>
      <c r="AP214" s="478">
        <v>22</v>
      </c>
      <c r="AQ214" s="213"/>
      <c r="AS214" s="509">
        <v>3039</v>
      </c>
      <c r="AT214" s="349">
        <v>26014</v>
      </c>
      <c r="AU214" s="480">
        <v>-22975</v>
      </c>
      <c r="AV214" s="199">
        <v>8719</v>
      </c>
      <c r="AW214" s="199">
        <v>874</v>
      </c>
      <c r="AX214" s="199">
        <v>1073</v>
      </c>
      <c r="AY214" s="199">
        <v>10666</v>
      </c>
      <c r="AZ214" s="199">
        <v>13043</v>
      </c>
      <c r="BA214" s="181">
        <v>2</v>
      </c>
      <c r="BB214" s="511">
        <v>120</v>
      </c>
      <c r="BC214" s="181">
        <v>349</v>
      </c>
      <c r="BD214" s="181">
        <v>2</v>
      </c>
      <c r="BE214" s="199">
        <v>963</v>
      </c>
      <c r="BG214" s="183">
        <v>1139</v>
      </c>
      <c r="BH214" s="183">
        <v>0</v>
      </c>
      <c r="BI214" s="183">
        <v>129</v>
      </c>
      <c r="BJ214" s="199">
        <v>-305</v>
      </c>
      <c r="BK214" s="199">
        <v>0</v>
      </c>
      <c r="BL214" s="199">
        <v>0</v>
      </c>
      <c r="BM214" s="183">
        <v>0</v>
      </c>
      <c r="BN214" s="199">
        <v>-305</v>
      </c>
      <c r="BP214" s="199">
        <v>3797</v>
      </c>
      <c r="BS214" s="211"/>
      <c r="BV214" s="514">
        <v>782</v>
      </c>
      <c r="BX214" s="181">
        <v>12552</v>
      </c>
      <c r="BZ214" s="349"/>
      <c r="CB214" s="340"/>
      <c r="CC214" s="488">
        <v>22</v>
      </c>
      <c r="CD214" s="378"/>
      <c r="CE214" s="378"/>
      <c r="CF214" s="195"/>
      <c r="CG214" s="349"/>
      <c r="CI214" s="181">
        <v>11089</v>
      </c>
      <c r="CJ214" s="183">
        <v>0</v>
      </c>
      <c r="CK214" s="421">
        <v>12444.940792139811</v>
      </c>
      <c r="CL214" s="494">
        <v>12711.164975435202</v>
      </c>
      <c r="CM214" s="483">
        <v>1489.5886985105694</v>
      </c>
      <c r="CN214" s="483">
        <v>1451.5401029315356</v>
      </c>
      <c r="CO214" s="483">
        <v>1418.7486796919327</v>
      </c>
      <c r="CP214" s="433">
        <f t="shared" si="3"/>
        <v>-781.94079213981058</v>
      </c>
      <c r="CQ214" s="212"/>
      <c r="CR214" s="212">
        <v>-77</v>
      </c>
      <c r="CS214" s="212">
        <v>-903</v>
      </c>
      <c r="CT214" s="183">
        <v>60</v>
      </c>
      <c r="CU214" s="183">
        <v>41</v>
      </c>
      <c r="CV214" s="485">
        <v>-20</v>
      </c>
      <c r="CX214" s="422"/>
      <c r="CY214" s="475"/>
      <c r="CZ214" s="450"/>
      <c r="DA214" s="394"/>
      <c r="DB214" s="394"/>
      <c r="DC214" s="347"/>
      <c r="DD214" s="394"/>
      <c r="DE214" s="394"/>
      <c r="DF214" s="394"/>
      <c r="DG214" s="394"/>
      <c r="DH214" s="394"/>
    </row>
    <row r="215" spans="1:112" x14ac:dyDescent="0.25">
      <c r="A215" s="179">
        <v>687</v>
      </c>
      <c r="B215" s="181" t="s">
        <v>241</v>
      </c>
      <c r="C215" s="373">
        <v>1602</v>
      </c>
      <c r="D215" s="360">
        <v>22</v>
      </c>
      <c r="E215" s="213"/>
      <c r="G215" s="363">
        <v>2771</v>
      </c>
      <c r="H215" s="363">
        <v>16085</v>
      </c>
      <c r="I215" s="349"/>
      <c r="J215" s="363">
        <v>3740</v>
      </c>
      <c r="K215" s="363">
        <v>1447</v>
      </c>
      <c r="L215" s="363">
        <v>437</v>
      </c>
      <c r="M215" s="363">
        <v>5624</v>
      </c>
      <c r="N215" s="363">
        <v>7967</v>
      </c>
      <c r="O215" s="363">
        <v>70</v>
      </c>
      <c r="P215" s="363">
        <v>67</v>
      </c>
      <c r="Q215" s="363">
        <v>242</v>
      </c>
      <c r="R215" s="363">
        <v>1</v>
      </c>
      <c r="S215" s="363">
        <v>521</v>
      </c>
      <c r="U215" s="363">
        <v>880</v>
      </c>
      <c r="V215" s="363">
        <v>0</v>
      </c>
      <c r="W215" s="363">
        <v>0</v>
      </c>
      <c r="X215" s="363">
        <v>-359</v>
      </c>
      <c r="Y215" s="363">
        <v>0</v>
      </c>
      <c r="Z215" s="363">
        <v>0</v>
      </c>
      <c r="AA215" s="363">
        <v>0</v>
      </c>
      <c r="AB215" s="363">
        <v>-359</v>
      </c>
      <c r="AD215" s="363">
        <v>5590</v>
      </c>
      <c r="AG215" s="363">
        <v>-499</v>
      </c>
      <c r="AH215" s="349"/>
      <c r="AJ215" s="363">
        <v>1104</v>
      </c>
      <c r="AL215" s="363">
        <v>10782</v>
      </c>
      <c r="AN215" s="349"/>
      <c r="AO215" s="454">
        <v>1561</v>
      </c>
      <c r="AP215" s="478">
        <v>22</v>
      </c>
      <c r="AQ215" s="213"/>
      <c r="AS215" s="509">
        <v>3046</v>
      </c>
      <c r="AT215" s="349">
        <v>15335</v>
      </c>
      <c r="AU215" s="480">
        <v>-12289</v>
      </c>
      <c r="AV215" s="199">
        <v>3674</v>
      </c>
      <c r="AW215" s="199">
        <v>1706</v>
      </c>
      <c r="AX215" s="199">
        <v>421</v>
      </c>
      <c r="AY215" s="199">
        <v>5801</v>
      </c>
      <c r="AZ215" s="199">
        <v>8819</v>
      </c>
      <c r="BA215" s="181">
        <v>70</v>
      </c>
      <c r="BB215" s="511">
        <v>64</v>
      </c>
      <c r="BC215" s="181">
        <v>248</v>
      </c>
      <c r="BD215" s="181">
        <v>21</v>
      </c>
      <c r="BE215" s="199">
        <v>2564</v>
      </c>
      <c r="BG215" s="183">
        <v>924</v>
      </c>
      <c r="BH215" s="183">
        <v>0</v>
      </c>
      <c r="BI215" s="183">
        <v>0</v>
      </c>
      <c r="BJ215" s="199">
        <v>1640</v>
      </c>
      <c r="BK215" s="183">
        <v>0</v>
      </c>
      <c r="BL215" s="183">
        <v>0</v>
      </c>
      <c r="BM215" s="183">
        <v>0</v>
      </c>
      <c r="BN215" s="199">
        <v>1640</v>
      </c>
      <c r="BP215" s="199">
        <v>7229</v>
      </c>
      <c r="BS215" s="211"/>
      <c r="BV215" s="514">
        <v>1199</v>
      </c>
      <c r="BX215" s="181">
        <v>9351</v>
      </c>
      <c r="BZ215" s="349"/>
      <c r="CB215" s="340"/>
      <c r="CC215" s="488">
        <v>22</v>
      </c>
      <c r="CD215" s="378"/>
      <c r="CE215" s="378"/>
      <c r="CF215" s="195"/>
      <c r="CG215" s="349"/>
      <c r="CI215" s="181">
        <v>7723</v>
      </c>
      <c r="CJ215" s="183">
        <v>0</v>
      </c>
      <c r="CK215" s="421">
        <v>8655.0438976989681</v>
      </c>
      <c r="CL215" s="494">
        <v>8219.9347775121914</v>
      </c>
      <c r="CM215" s="483">
        <v>397.70460654879656</v>
      </c>
      <c r="CN215" s="483">
        <v>689.8472315699031</v>
      </c>
      <c r="CO215" s="483">
        <v>686.30442853549914</v>
      </c>
      <c r="CP215" s="433">
        <f t="shared" si="3"/>
        <v>-688.04389769896807</v>
      </c>
      <c r="CQ215" s="212"/>
      <c r="CR215" s="212">
        <v>-65</v>
      </c>
      <c r="CS215" s="212">
        <v>-809</v>
      </c>
      <c r="CT215" s="183">
        <v>0</v>
      </c>
      <c r="CU215" s="183">
        <v>10</v>
      </c>
      <c r="CV215" s="485">
        <v>0</v>
      </c>
      <c r="CX215" s="422"/>
      <c r="CY215" s="475"/>
      <c r="CZ215" s="450"/>
      <c r="DA215" s="394"/>
      <c r="DB215" s="394"/>
      <c r="DC215" s="347"/>
      <c r="DD215" s="394"/>
      <c r="DE215" s="394"/>
      <c r="DF215" s="394"/>
      <c r="DG215" s="394"/>
      <c r="DH215" s="394"/>
    </row>
    <row r="216" spans="1:112" x14ac:dyDescent="0.25">
      <c r="A216" s="179">
        <v>689</v>
      </c>
      <c r="B216" s="181" t="s">
        <v>242</v>
      </c>
      <c r="C216" s="373">
        <v>3226</v>
      </c>
      <c r="D216" s="360">
        <v>20.25</v>
      </c>
      <c r="E216" s="213"/>
      <c r="G216" s="363">
        <v>2900</v>
      </c>
      <c r="H216" s="363">
        <v>25137</v>
      </c>
      <c r="I216" s="349"/>
      <c r="J216" s="363">
        <v>10114</v>
      </c>
      <c r="K216" s="363">
        <v>1730</v>
      </c>
      <c r="L216" s="363">
        <v>755</v>
      </c>
      <c r="M216" s="363">
        <v>12599</v>
      </c>
      <c r="N216" s="363">
        <v>10188</v>
      </c>
      <c r="O216" s="363">
        <v>38</v>
      </c>
      <c r="P216" s="363">
        <v>30</v>
      </c>
      <c r="Q216" s="363">
        <v>28</v>
      </c>
      <c r="R216" s="363">
        <v>2</v>
      </c>
      <c r="S216" s="363">
        <v>584</v>
      </c>
      <c r="U216" s="363">
        <v>1710</v>
      </c>
      <c r="V216" s="363">
        <v>60</v>
      </c>
      <c r="W216" s="363">
        <v>0</v>
      </c>
      <c r="X216" s="363">
        <v>-1066</v>
      </c>
      <c r="Y216" s="363">
        <v>104</v>
      </c>
      <c r="Z216" s="363">
        <v>0</v>
      </c>
      <c r="AA216" s="363">
        <v>0</v>
      </c>
      <c r="AB216" s="363">
        <v>-962</v>
      </c>
      <c r="AD216" s="363">
        <v>8971</v>
      </c>
      <c r="AG216" s="363">
        <v>-591</v>
      </c>
      <c r="AH216" s="349"/>
      <c r="AJ216" s="363">
        <v>2066</v>
      </c>
      <c r="AL216" s="363">
        <v>7008</v>
      </c>
      <c r="AN216" s="349"/>
      <c r="AO216" s="454">
        <v>3146</v>
      </c>
      <c r="AP216" s="478">
        <v>20.5</v>
      </c>
      <c r="AQ216" s="213"/>
      <c r="AS216" s="509">
        <v>2485</v>
      </c>
      <c r="AT216" s="349">
        <v>25417</v>
      </c>
      <c r="AU216" s="480">
        <v>-22932</v>
      </c>
      <c r="AV216" s="199">
        <v>10111</v>
      </c>
      <c r="AW216" s="199">
        <v>1603</v>
      </c>
      <c r="AX216" s="199">
        <v>682</v>
      </c>
      <c r="AY216" s="199">
        <v>12396</v>
      </c>
      <c r="AZ216" s="199">
        <v>10791</v>
      </c>
      <c r="BA216" s="181">
        <v>34</v>
      </c>
      <c r="BB216" s="511">
        <v>20</v>
      </c>
      <c r="BC216" s="181">
        <v>28</v>
      </c>
      <c r="BD216" s="181">
        <v>0</v>
      </c>
      <c r="BE216" s="199">
        <v>297</v>
      </c>
      <c r="BG216" s="183">
        <v>1645</v>
      </c>
      <c r="BH216" s="183">
        <v>0</v>
      </c>
      <c r="BI216" s="183">
        <v>0</v>
      </c>
      <c r="BJ216" s="199">
        <v>-1348</v>
      </c>
      <c r="BK216" s="183">
        <v>107</v>
      </c>
      <c r="BL216" s="183">
        <v>0</v>
      </c>
      <c r="BM216" s="183">
        <v>0</v>
      </c>
      <c r="BN216" s="199">
        <v>-1241</v>
      </c>
      <c r="BP216" s="199">
        <v>7396</v>
      </c>
      <c r="BS216" s="211"/>
      <c r="BV216" s="514">
        <v>1131</v>
      </c>
      <c r="BX216" s="181">
        <v>4716</v>
      </c>
      <c r="BZ216" s="349"/>
      <c r="CB216" s="340"/>
      <c r="CC216" s="488">
        <v>20.5</v>
      </c>
      <c r="CD216" s="378"/>
      <c r="CE216" s="378"/>
      <c r="CF216" s="195"/>
      <c r="CG216" s="349"/>
      <c r="CI216" s="181">
        <v>9465</v>
      </c>
      <c r="CJ216" s="183">
        <v>0</v>
      </c>
      <c r="CK216" s="421">
        <v>10275.782947600133</v>
      </c>
      <c r="CL216" s="494">
        <v>11215.430241511756</v>
      </c>
      <c r="CM216" s="483">
        <v>1902.3123816849784</v>
      </c>
      <c r="CN216" s="483">
        <v>1916.1832806589414</v>
      </c>
      <c r="CO216" s="483">
        <v>1868.523197265557</v>
      </c>
      <c r="CP216" s="433">
        <f t="shared" si="3"/>
        <v>-87.782947600133411</v>
      </c>
      <c r="CQ216" s="212"/>
      <c r="CR216" s="212">
        <v>928</v>
      </c>
      <c r="CS216" s="212">
        <v>-583</v>
      </c>
      <c r="CT216" s="183">
        <v>15</v>
      </c>
      <c r="CU216" s="183">
        <v>86</v>
      </c>
      <c r="CV216" s="485">
        <v>25</v>
      </c>
      <c r="CX216" s="422"/>
      <c r="CY216" s="475"/>
      <c r="CZ216" s="450"/>
      <c r="DA216" s="394"/>
      <c r="DB216" s="394"/>
      <c r="DC216" s="347"/>
      <c r="DD216" s="394"/>
      <c r="DE216" s="394"/>
      <c r="DF216" s="394"/>
      <c r="DG216" s="394"/>
      <c r="DH216" s="394"/>
    </row>
    <row r="217" spans="1:112" x14ac:dyDescent="0.25">
      <c r="A217" s="179">
        <v>691</v>
      </c>
      <c r="B217" s="181" t="s">
        <v>243</v>
      </c>
      <c r="C217" s="373">
        <v>2718</v>
      </c>
      <c r="D217" s="360">
        <v>22.5</v>
      </c>
      <c r="E217" s="213"/>
      <c r="G217" s="363">
        <v>6870</v>
      </c>
      <c r="H217" s="363">
        <v>26110</v>
      </c>
      <c r="I217" s="349"/>
      <c r="J217" s="363">
        <v>7194</v>
      </c>
      <c r="K217" s="363">
        <v>363</v>
      </c>
      <c r="L217" s="363">
        <v>660</v>
      </c>
      <c r="M217" s="363">
        <v>8217</v>
      </c>
      <c r="N217" s="363">
        <v>11256</v>
      </c>
      <c r="O217" s="363">
        <v>10</v>
      </c>
      <c r="P217" s="363">
        <v>205</v>
      </c>
      <c r="Q217" s="363">
        <v>784</v>
      </c>
      <c r="R217" s="363">
        <v>273</v>
      </c>
      <c r="S217" s="363">
        <v>549</v>
      </c>
      <c r="U217" s="363">
        <v>1166</v>
      </c>
      <c r="V217" s="363">
        <v>0</v>
      </c>
      <c r="W217" s="363">
        <v>0</v>
      </c>
      <c r="X217" s="363">
        <v>-617</v>
      </c>
      <c r="Y217" s="363">
        <v>0</v>
      </c>
      <c r="Z217" s="363">
        <v>0</v>
      </c>
      <c r="AA217" s="363">
        <v>0</v>
      </c>
      <c r="AB217" s="363">
        <v>-617</v>
      </c>
      <c r="AD217" s="363">
        <v>-1746</v>
      </c>
      <c r="AG217" s="363">
        <v>-4029</v>
      </c>
      <c r="AH217" s="349"/>
      <c r="AJ217" s="363">
        <v>10831</v>
      </c>
      <c r="AL217" s="363">
        <v>29976</v>
      </c>
      <c r="AN217" s="349"/>
      <c r="AO217" s="454">
        <v>2710</v>
      </c>
      <c r="AP217" s="478">
        <v>22.5</v>
      </c>
      <c r="AQ217" s="213"/>
      <c r="AS217" s="509">
        <v>6226</v>
      </c>
      <c r="AT217" s="349">
        <v>25105</v>
      </c>
      <c r="AU217" s="480">
        <v>-18879</v>
      </c>
      <c r="AV217" s="199">
        <v>7566</v>
      </c>
      <c r="AW217" s="199">
        <v>414</v>
      </c>
      <c r="AX217" s="199">
        <v>696</v>
      </c>
      <c r="AY217" s="199">
        <v>8676</v>
      </c>
      <c r="AZ217" s="199">
        <v>12311</v>
      </c>
      <c r="BA217" s="181">
        <v>68</v>
      </c>
      <c r="BB217" s="511">
        <v>209</v>
      </c>
      <c r="BC217" s="181">
        <v>928</v>
      </c>
      <c r="BD217" s="181">
        <v>475</v>
      </c>
      <c r="BE217" s="199">
        <v>2420</v>
      </c>
      <c r="BG217" s="183">
        <v>1272</v>
      </c>
      <c r="BH217" s="183">
        <v>0</v>
      </c>
      <c r="BI217" s="183">
        <v>0</v>
      </c>
      <c r="BJ217" s="199">
        <v>1148</v>
      </c>
      <c r="BK217" s="183">
        <v>0</v>
      </c>
      <c r="BL217" s="183">
        <v>0</v>
      </c>
      <c r="BM217" s="183">
        <v>0</v>
      </c>
      <c r="BN217" s="199">
        <v>1148</v>
      </c>
      <c r="BP217" s="199">
        <v>-597</v>
      </c>
      <c r="BS217" s="211"/>
      <c r="BV217" s="514">
        <v>10837</v>
      </c>
      <c r="BX217" s="181">
        <v>29533</v>
      </c>
      <c r="BZ217" s="349"/>
      <c r="CB217" s="340"/>
      <c r="CC217" s="488">
        <v>22.5</v>
      </c>
      <c r="CD217" s="378"/>
      <c r="CE217" s="378"/>
      <c r="CF217" s="195"/>
      <c r="CG217" s="349"/>
      <c r="CH217" s="347"/>
      <c r="CI217" s="181">
        <v>10323</v>
      </c>
      <c r="CJ217" s="183">
        <v>0</v>
      </c>
      <c r="CK217" s="421">
        <v>11828.115482073472</v>
      </c>
      <c r="CL217" s="494">
        <v>12665.255315298371</v>
      </c>
      <c r="CM217" s="483">
        <v>3259.0557395801875</v>
      </c>
      <c r="CN217" s="483">
        <v>3239.0320459383188</v>
      </c>
      <c r="CO217" s="483">
        <v>3131.6748622300574</v>
      </c>
      <c r="CP217" s="433">
        <f t="shared" si="3"/>
        <v>-572.11548207347187</v>
      </c>
      <c r="CQ217" s="212"/>
      <c r="CR217" s="212">
        <v>-40</v>
      </c>
      <c r="CS217" s="212">
        <v>-2591</v>
      </c>
      <c r="CT217" s="183">
        <v>285</v>
      </c>
      <c r="CU217" s="183">
        <v>71</v>
      </c>
      <c r="CV217" s="485">
        <v>27</v>
      </c>
      <c r="CX217" s="422"/>
      <c r="CY217" s="475"/>
      <c r="CZ217" s="450"/>
      <c r="DA217" s="394"/>
      <c r="DB217" s="394"/>
      <c r="DC217" s="347"/>
      <c r="DD217" s="394"/>
      <c r="DE217" s="394"/>
      <c r="DF217" s="394"/>
      <c r="DG217" s="394"/>
      <c r="DH217" s="394"/>
    </row>
    <row r="218" spans="1:112" x14ac:dyDescent="0.25">
      <c r="A218" s="179">
        <v>694</v>
      </c>
      <c r="B218" s="181" t="s">
        <v>244</v>
      </c>
      <c r="C218" s="373">
        <v>28793</v>
      </c>
      <c r="D218" s="360">
        <v>20.5</v>
      </c>
      <c r="E218" s="213"/>
      <c r="G218" s="363">
        <v>29499</v>
      </c>
      <c r="H218" s="363">
        <v>175725</v>
      </c>
      <c r="I218" s="349"/>
      <c r="J218" s="363">
        <v>103979</v>
      </c>
      <c r="K218" s="363">
        <v>7900</v>
      </c>
      <c r="L218" s="363">
        <v>9800</v>
      </c>
      <c r="M218" s="363">
        <v>121679</v>
      </c>
      <c r="N218" s="363">
        <v>35957</v>
      </c>
      <c r="O218" s="363">
        <v>26</v>
      </c>
      <c r="P218" s="363">
        <v>548</v>
      </c>
      <c r="Q218" s="363">
        <v>2303</v>
      </c>
      <c r="R218" s="363">
        <v>19</v>
      </c>
      <c r="S218" s="363">
        <v>13172</v>
      </c>
      <c r="U218" s="363">
        <v>-932</v>
      </c>
      <c r="V218" s="363">
        <v>46586</v>
      </c>
      <c r="W218" s="363">
        <v>0</v>
      </c>
      <c r="X218" s="363">
        <v>60690</v>
      </c>
      <c r="Y218" s="363">
        <v>47</v>
      </c>
      <c r="Z218" s="363">
        <v>0</v>
      </c>
      <c r="AA218" s="363">
        <v>0</v>
      </c>
      <c r="AB218" s="363">
        <v>60737</v>
      </c>
      <c r="AD218" s="363">
        <v>80076</v>
      </c>
      <c r="AG218" s="363">
        <v>35240</v>
      </c>
      <c r="AH218" s="349"/>
      <c r="AJ218" s="363">
        <v>10035</v>
      </c>
      <c r="AL218" s="363">
        <v>76655</v>
      </c>
      <c r="AN218" s="349"/>
      <c r="AO218" s="454">
        <v>28710</v>
      </c>
      <c r="AP218" s="478">
        <v>20.5</v>
      </c>
      <c r="AQ218" s="213"/>
      <c r="AS218" s="509">
        <v>29448</v>
      </c>
      <c r="AT218" s="349">
        <v>181906</v>
      </c>
      <c r="AU218" s="480">
        <v>-152458</v>
      </c>
      <c r="AV218" s="199">
        <v>109300</v>
      </c>
      <c r="AW218" s="199">
        <v>8110</v>
      </c>
      <c r="AX218" s="199">
        <v>8996</v>
      </c>
      <c r="AY218" s="199">
        <v>126406</v>
      </c>
      <c r="AZ218" s="199">
        <v>47805</v>
      </c>
      <c r="BA218" s="181">
        <v>74</v>
      </c>
      <c r="BB218" s="511">
        <v>374</v>
      </c>
      <c r="BC218" s="181">
        <v>2157</v>
      </c>
      <c r="BD218" s="181">
        <v>18</v>
      </c>
      <c r="BE218" s="199">
        <v>23592</v>
      </c>
      <c r="BG218" s="183">
        <v>9323</v>
      </c>
      <c r="BH218" s="183">
        <v>0</v>
      </c>
      <c r="BI218" s="183">
        <v>0</v>
      </c>
      <c r="BJ218" s="199">
        <v>14269</v>
      </c>
      <c r="BK218" s="183">
        <v>47</v>
      </c>
      <c r="BL218" s="183">
        <v>0</v>
      </c>
      <c r="BM218" s="183">
        <v>50</v>
      </c>
      <c r="BN218" s="199">
        <v>14366</v>
      </c>
      <c r="BP218" s="199">
        <v>94442</v>
      </c>
      <c r="BS218" s="211"/>
      <c r="BV218" s="514">
        <v>18195</v>
      </c>
      <c r="BX218" s="181">
        <v>69388</v>
      </c>
      <c r="BZ218" s="349"/>
      <c r="CB218" s="340"/>
      <c r="CC218" s="488">
        <v>20.5</v>
      </c>
      <c r="CD218" s="378"/>
      <c r="CE218" s="378"/>
      <c r="CF218" s="195"/>
      <c r="CG218" s="349"/>
      <c r="CI218" s="181">
        <v>34479</v>
      </c>
      <c r="CJ218" s="183">
        <v>0</v>
      </c>
      <c r="CK218" s="421">
        <v>43135.797350184825</v>
      </c>
      <c r="CL218" s="494">
        <v>47019.96943346467</v>
      </c>
      <c r="CM218" s="483">
        <v>10505.616117440115</v>
      </c>
      <c r="CN218" s="483">
        <v>9522.8884059798056</v>
      </c>
      <c r="CO218" s="483">
        <v>8789.3903779883021</v>
      </c>
      <c r="CP218" s="433">
        <f t="shared" si="3"/>
        <v>-7178.7973501848246</v>
      </c>
      <c r="CQ218" s="212"/>
      <c r="CR218" s="212">
        <v>-415</v>
      </c>
      <c r="CS218" s="212">
        <v>-12808</v>
      </c>
      <c r="CT218" s="183">
        <v>1388</v>
      </c>
      <c r="CU218" s="183">
        <v>1052</v>
      </c>
      <c r="CV218" s="485">
        <v>12</v>
      </c>
      <c r="CX218" s="422"/>
      <c r="CY218" s="475"/>
      <c r="CZ218" s="450"/>
      <c r="DA218" s="394"/>
      <c r="DB218" s="394"/>
      <c r="DC218" s="347"/>
      <c r="DD218" s="394"/>
      <c r="DE218" s="394"/>
      <c r="DF218" s="394"/>
      <c r="DG218" s="394"/>
      <c r="DH218" s="394"/>
    </row>
    <row r="219" spans="1:112" x14ac:dyDescent="0.25">
      <c r="A219" s="179">
        <v>697</v>
      </c>
      <c r="B219" s="181" t="s">
        <v>245</v>
      </c>
      <c r="C219" s="373">
        <v>1272</v>
      </c>
      <c r="D219" s="360">
        <v>21.5</v>
      </c>
      <c r="E219" s="213"/>
      <c r="G219" s="363">
        <v>3425</v>
      </c>
      <c r="H219" s="363">
        <v>14080</v>
      </c>
      <c r="I219" s="349"/>
      <c r="J219" s="363">
        <v>3658</v>
      </c>
      <c r="K219" s="363">
        <v>456</v>
      </c>
      <c r="L219" s="363">
        <v>837</v>
      </c>
      <c r="M219" s="363">
        <v>4951</v>
      </c>
      <c r="N219" s="363">
        <v>6051</v>
      </c>
      <c r="O219" s="363">
        <v>9</v>
      </c>
      <c r="P219" s="363">
        <v>28</v>
      </c>
      <c r="Q219" s="363">
        <v>26</v>
      </c>
      <c r="R219" s="363">
        <v>2</v>
      </c>
      <c r="S219" s="363">
        <v>352</v>
      </c>
      <c r="U219" s="363">
        <v>468</v>
      </c>
      <c r="V219" s="363">
        <v>0</v>
      </c>
      <c r="W219" s="363">
        <v>0</v>
      </c>
      <c r="X219" s="363">
        <v>-116</v>
      </c>
      <c r="Y219" s="363">
        <v>74</v>
      </c>
      <c r="Z219" s="363">
        <v>0</v>
      </c>
      <c r="AA219" s="363">
        <v>0</v>
      </c>
      <c r="AB219" s="363">
        <v>-42</v>
      </c>
      <c r="AD219" s="363">
        <v>1273</v>
      </c>
      <c r="AG219" s="363">
        <v>-348</v>
      </c>
      <c r="AH219" s="349"/>
      <c r="AJ219" s="363">
        <v>2027</v>
      </c>
      <c r="AL219" s="363">
        <v>5151</v>
      </c>
      <c r="AN219" s="349"/>
      <c r="AO219" s="454">
        <v>1235</v>
      </c>
      <c r="AP219" s="478">
        <v>21.5</v>
      </c>
      <c r="AQ219" s="213"/>
      <c r="AS219" s="509">
        <v>3751</v>
      </c>
      <c r="AT219" s="349">
        <v>14855</v>
      </c>
      <c r="AU219" s="480">
        <v>-11104</v>
      </c>
      <c r="AV219" s="199">
        <v>3649</v>
      </c>
      <c r="AW219" s="199">
        <v>509</v>
      </c>
      <c r="AX219" s="199">
        <v>756</v>
      </c>
      <c r="AY219" s="199">
        <v>4914</v>
      </c>
      <c r="AZ219" s="199">
        <v>6490</v>
      </c>
      <c r="BA219" s="181">
        <v>18</v>
      </c>
      <c r="BB219" s="511">
        <v>31</v>
      </c>
      <c r="BC219" s="181">
        <v>11</v>
      </c>
      <c r="BD219" s="181">
        <v>4</v>
      </c>
      <c r="BE219" s="199">
        <v>294</v>
      </c>
      <c r="BG219" s="183">
        <v>381</v>
      </c>
      <c r="BH219" s="183">
        <v>0</v>
      </c>
      <c r="BI219" s="183">
        <v>0</v>
      </c>
      <c r="BJ219" s="199">
        <v>-87</v>
      </c>
      <c r="BK219" s="199">
        <v>-537</v>
      </c>
      <c r="BL219" s="199">
        <v>542</v>
      </c>
      <c r="BM219" s="183">
        <v>0</v>
      </c>
      <c r="BN219" s="199">
        <v>-82</v>
      </c>
      <c r="BP219" s="199">
        <v>1190</v>
      </c>
      <c r="BS219" s="211"/>
      <c r="BV219" s="514">
        <v>1538</v>
      </c>
      <c r="BX219" s="181">
        <v>4631</v>
      </c>
      <c r="BZ219" s="349"/>
      <c r="CB219" s="340"/>
      <c r="CC219" s="488">
        <v>21.5</v>
      </c>
      <c r="CD219" s="378"/>
      <c r="CE219" s="378"/>
      <c r="CF219" s="195"/>
      <c r="CG219" s="349"/>
      <c r="CI219" s="181">
        <v>5674</v>
      </c>
      <c r="CJ219" s="183">
        <v>0</v>
      </c>
      <c r="CK219" s="421">
        <v>6148.6304095764935</v>
      </c>
      <c r="CL219" s="494">
        <v>5946.6159680490473</v>
      </c>
      <c r="CM219" s="483">
        <v>624.9850098524538</v>
      </c>
      <c r="CN219" s="483">
        <v>727.72178271919154</v>
      </c>
      <c r="CO219" s="483">
        <v>764.86175336028293</v>
      </c>
      <c r="CP219" s="433">
        <f t="shared" si="3"/>
        <v>-97.630409576493548</v>
      </c>
      <c r="CQ219" s="212"/>
      <c r="CR219" s="212">
        <v>-303</v>
      </c>
      <c r="CS219" s="212">
        <v>-716</v>
      </c>
      <c r="CT219" s="183">
        <v>0</v>
      </c>
      <c r="CU219" s="183">
        <v>1066</v>
      </c>
      <c r="CV219" s="485">
        <v>49</v>
      </c>
      <c r="CX219" s="422"/>
      <c r="CY219" s="475"/>
      <c r="CZ219" s="450"/>
      <c r="DA219" s="394"/>
      <c r="DB219" s="394"/>
      <c r="DC219" s="347"/>
      <c r="DD219" s="394"/>
      <c r="DE219" s="394"/>
      <c r="DF219" s="394"/>
      <c r="DG219" s="394"/>
      <c r="DH219" s="394"/>
    </row>
    <row r="220" spans="1:112" x14ac:dyDescent="0.25">
      <c r="A220" s="179">
        <v>698</v>
      </c>
      <c r="B220" s="181" t="s">
        <v>246</v>
      </c>
      <c r="C220" s="373">
        <v>63042</v>
      </c>
      <c r="D220" s="360">
        <v>21</v>
      </c>
      <c r="E220" s="213"/>
      <c r="G220" s="363">
        <v>54520</v>
      </c>
      <c r="H220" s="363">
        <v>426779</v>
      </c>
      <c r="I220" s="349"/>
      <c r="J220" s="363">
        <v>211816</v>
      </c>
      <c r="K220" s="363">
        <v>10009</v>
      </c>
      <c r="L220" s="363">
        <v>30726</v>
      </c>
      <c r="M220" s="363">
        <v>252551</v>
      </c>
      <c r="N220" s="363">
        <v>97652</v>
      </c>
      <c r="O220" s="363">
        <v>7150</v>
      </c>
      <c r="P220" s="363">
        <v>2637</v>
      </c>
      <c r="Q220" s="363">
        <v>5327</v>
      </c>
      <c r="R220" s="363">
        <v>140</v>
      </c>
      <c r="S220" s="363">
        <v>-12356</v>
      </c>
      <c r="U220" s="363">
        <v>19214</v>
      </c>
      <c r="V220" s="363">
        <v>0</v>
      </c>
      <c r="W220" s="363">
        <v>0</v>
      </c>
      <c r="X220" s="363">
        <v>-31570</v>
      </c>
      <c r="Y220" s="363">
        <v>323</v>
      </c>
      <c r="Z220" s="363">
        <v>0</v>
      </c>
      <c r="AA220" s="363">
        <v>0</v>
      </c>
      <c r="AB220" s="363">
        <v>-31247</v>
      </c>
      <c r="AD220" s="363">
        <v>13921</v>
      </c>
      <c r="AG220" s="363">
        <v>-18090</v>
      </c>
      <c r="AH220" s="349"/>
      <c r="AJ220" s="363">
        <v>58528</v>
      </c>
      <c r="AL220" s="363">
        <v>251457</v>
      </c>
      <c r="AN220" s="349"/>
      <c r="AO220" s="454">
        <v>63528</v>
      </c>
      <c r="AP220" s="478">
        <v>21.5</v>
      </c>
      <c r="AQ220" s="213"/>
      <c r="AS220" s="509">
        <v>51706</v>
      </c>
      <c r="AT220" s="349">
        <v>425584</v>
      </c>
      <c r="AU220" s="480">
        <v>-373878</v>
      </c>
      <c r="AV220" s="199">
        <v>227190</v>
      </c>
      <c r="AW220" s="199">
        <v>11002</v>
      </c>
      <c r="AX220" s="199">
        <v>28903</v>
      </c>
      <c r="AY220" s="199">
        <v>267095</v>
      </c>
      <c r="AZ220" s="199">
        <v>126891</v>
      </c>
      <c r="BA220" s="181">
        <v>7412</v>
      </c>
      <c r="BB220" s="511">
        <v>2709</v>
      </c>
      <c r="BC220" s="181">
        <v>5927</v>
      </c>
      <c r="BD220" s="181">
        <v>1068</v>
      </c>
      <c r="BE220" s="199">
        <v>29670</v>
      </c>
      <c r="BG220" s="183">
        <v>17711</v>
      </c>
      <c r="BH220" s="199">
        <v>0</v>
      </c>
      <c r="BI220" s="199">
        <v>0</v>
      </c>
      <c r="BJ220" s="199">
        <v>11959</v>
      </c>
      <c r="BK220" s="199">
        <v>313</v>
      </c>
      <c r="BL220" s="183">
        <v>0</v>
      </c>
      <c r="BM220" s="183">
        <v>0</v>
      </c>
      <c r="BN220" s="199">
        <v>12272</v>
      </c>
      <c r="BP220" s="199">
        <v>26195</v>
      </c>
      <c r="BS220" s="211"/>
      <c r="BV220" s="514">
        <v>78004</v>
      </c>
      <c r="BX220" s="181">
        <v>268890</v>
      </c>
      <c r="BZ220" s="349"/>
      <c r="CB220" s="340"/>
      <c r="CC220" s="488">
        <v>21.5</v>
      </c>
      <c r="CD220" s="378"/>
      <c r="CE220" s="378"/>
      <c r="CF220" s="195"/>
      <c r="CG220" s="349"/>
      <c r="CI220" s="181">
        <v>82991</v>
      </c>
      <c r="CJ220" s="183">
        <v>0</v>
      </c>
      <c r="CK220" s="421">
        <v>111969.44893577503</v>
      </c>
      <c r="CL220" s="494">
        <v>123604.97900126717</v>
      </c>
      <c r="CM220" s="483">
        <v>12549.446427587169</v>
      </c>
      <c r="CN220" s="483">
        <v>14937.267475743327</v>
      </c>
      <c r="CO220" s="483">
        <v>17992.370776309708</v>
      </c>
      <c r="CP220" s="433">
        <f t="shared" si="3"/>
        <v>-14317.448935775028</v>
      </c>
      <c r="CQ220" s="212"/>
      <c r="CR220" s="212">
        <v>-2029</v>
      </c>
      <c r="CS220" s="212">
        <v>-14270</v>
      </c>
      <c r="CT220" s="183">
        <v>49</v>
      </c>
      <c r="CU220" s="183">
        <v>2038</v>
      </c>
      <c r="CV220" s="485">
        <v>-18910</v>
      </c>
      <c r="CX220" s="422"/>
      <c r="CY220" s="475"/>
      <c r="CZ220" s="450"/>
      <c r="DA220" s="394"/>
      <c r="DB220" s="394"/>
      <c r="DC220" s="347"/>
      <c r="DD220" s="394"/>
      <c r="DE220" s="394"/>
      <c r="DF220" s="394"/>
      <c r="DG220" s="394"/>
      <c r="DH220" s="394"/>
    </row>
    <row r="221" spans="1:112" x14ac:dyDescent="0.25">
      <c r="A221" s="179">
        <v>700</v>
      </c>
      <c r="B221" s="181" t="s">
        <v>247</v>
      </c>
      <c r="C221" s="373">
        <v>4994</v>
      </c>
      <c r="D221" s="360">
        <v>20.5</v>
      </c>
      <c r="E221" s="213"/>
      <c r="G221" s="363">
        <v>4941</v>
      </c>
      <c r="H221" s="363">
        <v>34414</v>
      </c>
      <c r="I221" s="349"/>
      <c r="J221" s="363">
        <v>17139</v>
      </c>
      <c r="K221" s="363">
        <v>2058</v>
      </c>
      <c r="L221" s="363">
        <v>1838</v>
      </c>
      <c r="M221" s="363">
        <v>21035</v>
      </c>
      <c r="N221" s="363">
        <v>11408</v>
      </c>
      <c r="O221" s="363">
        <v>0</v>
      </c>
      <c r="P221" s="363">
        <v>168</v>
      </c>
      <c r="Q221" s="363">
        <v>14</v>
      </c>
      <c r="R221" s="363">
        <v>3</v>
      </c>
      <c r="S221" s="363">
        <v>2813</v>
      </c>
      <c r="U221" s="363">
        <v>2050</v>
      </c>
      <c r="V221" s="363">
        <v>0</v>
      </c>
      <c r="W221" s="363">
        <v>0</v>
      </c>
      <c r="X221" s="363">
        <v>763</v>
      </c>
      <c r="Y221" s="363">
        <v>114</v>
      </c>
      <c r="Z221" s="363">
        <v>0</v>
      </c>
      <c r="AA221" s="363">
        <v>0</v>
      </c>
      <c r="AB221" s="363">
        <v>877</v>
      </c>
      <c r="AD221" s="363">
        <v>8497</v>
      </c>
      <c r="AG221" s="363">
        <v>-1282</v>
      </c>
      <c r="AH221" s="349"/>
      <c r="AJ221" s="363">
        <v>4154</v>
      </c>
      <c r="AL221" s="363">
        <v>16837</v>
      </c>
      <c r="AN221" s="349"/>
      <c r="AO221" s="454">
        <v>4922</v>
      </c>
      <c r="AP221" s="478">
        <v>20.5</v>
      </c>
      <c r="AQ221" s="213"/>
      <c r="AS221" s="509">
        <v>4835</v>
      </c>
      <c r="AT221" s="349">
        <v>35576</v>
      </c>
      <c r="AU221" s="480">
        <v>-30741</v>
      </c>
      <c r="AV221" s="199">
        <v>17545</v>
      </c>
      <c r="AW221" s="199">
        <v>2208</v>
      </c>
      <c r="AX221" s="199">
        <v>1664</v>
      </c>
      <c r="AY221" s="199">
        <v>21417</v>
      </c>
      <c r="AZ221" s="199">
        <v>13342</v>
      </c>
      <c r="BA221" s="181">
        <v>0</v>
      </c>
      <c r="BB221" s="511">
        <v>157</v>
      </c>
      <c r="BC221" s="181">
        <v>8</v>
      </c>
      <c r="BD221" s="181">
        <v>4</v>
      </c>
      <c r="BE221" s="199">
        <v>3865</v>
      </c>
      <c r="BG221" s="183">
        <v>1863</v>
      </c>
      <c r="BH221" s="183">
        <v>0</v>
      </c>
      <c r="BI221" s="183">
        <v>0</v>
      </c>
      <c r="BJ221" s="199">
        <v>2002</v>
      </c>
      <c r="BK221" s="199">
        <v>113</v>
      </c>
      <c r="BL221" s="199">
        <v>0</v>
      </c>
      <c r="BM221" s="183">
        <v>0</v>
      </c>
      <c r="BN221" s="199">
        <v>2115</v>
      </c>
      <c r="BP221" s="199">
        <v>10612</v>
      </c>
      <c r="BS221" s="211"/>
      <c r="BV221" s="514">
        <v>6780</v>
      </c>
      <c r="BX221" s="181">
        <v>15164</v>
      </c>
      <c r="BZ221" s="349"/>
      <c r="CB221" s="340"/>
      <c r="CC221" s="488">
        <v>20.5</v>
      </c>
      <c r="CD221" s="378"/>
      <c r="CE221" s="378"/>
      <c r="CF221" s="195"/>
      <c r="CG221" s="349"/>
      <c r="CI221" s="181">
        <v>9556</v>
      </c>
      <c r="CJ221" s="183">
        <v>0</v>
      </c>
      <c r="CK221" s="421">
        <v>11977.832529323974</v>
      </c>
      <c r="CL221" s="494">
        <v>11518.380689106789</v>
      </c>
      <c r="CM221" s="483">
        <v>1209.8993727748914</v>
      </c>
      <c r="CN221" s="483">
        <v>1093.1881529631157</v>
      </c>
      <c r="CO221" s="483">
        <v>1102.3356351104619</v>
      </c>
      <c r="CP221" s="433">
        <f t="shared" si="3"/>
        <v>-569.83252932397409</v>
      </c>
      <c r="CQ221" s="212"/>
      <c r="CR221" s="212">
        <v>1109</v>
      </c>
      <c r="CS221" s="212">
        <v>-971</v>
      </c>
      <c r="CT221" s="183">
        <v>20</v>
      </c>
      <c r="CU221" s="183">
        <v>7</v>
      </c>
      <c r="CV221" s="485">
        <v>0</v>
      </c>
      <c r="CX221" s="422"/>
      <c r="CY221" s="475"/>
      <c r="CZ221" s="450"/>
      <c r="DA221" s="394"/>
      <c r="DB221" s="394"/>
      <c r="DC221" s="347"/>
      <c r="DD221" s="394"/>
      <c r="DE221" s="394"/>
      <c r="DF221" s="394"/>
      <c r="DG221" s="394"/>
      <c r="DH221" s="394"/>
    </row>
    <row r="222" spans="1:112" x14ac:dyDescent="0.25">
      <c r="A222" s="179">
        <v>702</v>
      </c>
      <c r="B222" s="181" t="s">
        <v>248</v>
      </c>
      <c r="C222" s="373">
        <v>4283</v>
      </c>
      <c r="D222" s="360">
        <v>22</v>
      </c>
      <c r="E222" s="213"/>
      <c r="G222" s="363">
        <v>4153</v>
      </c>
      <c r="H222" s="363">
        <v>33527</v>
      </c>
      <c r="I222" s="349"/>
      <c r="J222" s="363">
        <v>12922</v>
      </c>
      <c r="K222" s="363">
        <v>1802</v>
      </c>
      <c r="L222" s="363">
        <v>1644</v>
      </c>
      <c r="M222" s="363">
        <v>16368</v>
      </c>
      <c r="N222" s="363">
        <v>13276</v>
      </c>
      <c r="O222" s="363">
        <v>0</v>
      </c>
      <c r="P222" s="363">
        <v>52</v>
      </c>
      <c r="Q222" s="363">
        <v>182</v>
      </c>
      <c r="R222" s="363">
        <v>1</v>
      </c>
      <c r="S222" s="363">
        <v>399</v>
      </c>
      <c r="U222" s="363">
        <v>1226</v>
      </c>
      <c r="V222" s="363">
        <v>0</v>
      </c>
      <c r="W222" s="363">
        <v>0</v>
      </c>
      <c r="X222" s="363">
        <v>-827</v>
      </c>
      <c r="Y222" s="363">
        <v>33</v>
      </c>
      <c r="Z222" s="363">
        <v>0</v>
      </c>
      <c r="AA222" s="363">
        <v>0</v>
      </c>
      <c r="AB222" s="363">
        <v>-794</v>
      </c>
      <c r="AD222" s="363">
        <v>2348</v>
      </c>
      <c r="AG222" s="363">
        <v>-1763</v>
      </c>
      <c r="AH222" s="349"/>
      <c r="AJ222" s="363">
        <v>4509</v>
      </c>
      <c r="AL222" s="363">
        <v>10792</v>
      </c>
      <c r="AN222" s="349"/>
      <c r="AO222" s="454">
        <v>4215</v>
      </c>
      <c r="AP222" s="478">
        <v>22</v>
      </c>
      <c r="AQ222" s="213"/>
      <c r="AS222" s="509">
        <v>3802</v>
      </c>
      <c r="AT222" s="349">
        <v>32172</v>
      </c>
      <c r="AU222" s="480">
        <v>-28370</v>
      </c>
      <c r="AV222" s="199">
        <v>12890</v>
      </c>
      <c r="AW222" s="199">
        <v>1879</v>
      </c>
      <c r="AX222" s="199">
        <v>2136</v>
      </c>
      <c r="AY222" s="199">
        <v>16905</v>
      </c>
      <c r="AZ222" s="199">
        <v>14496</v>
      </c>
      <c r="BA222" s="181">
        <v>0</v>
      </c>
      <c r="BB222" s="511">
        <v>96</v>
      </c>
      <c r="BC222" s="181">
        <v>180</v>
      </c>
      <c r="BD222" s="181">
        <v>88</v>
      </c>
      <c r="BE222" s="199">
        <v>3027</v>
      </c>
      <c r="BG222" s="183">
        <v>1277</v>
      </c>
      <c r="BH222" s="183">
        <v>0</v>
      </c>
      <c r="BI222" s="183">
        <v>0</v>
      </c>
      <c r="BJ222" s="199">
        <v>1750</v>
      </c>
      <c r="BK222" s="199">
        <v>33</v>
      </c>
      <c r="BL222" s="183">
        <v>0</v>
      </c>
      <c r="BM222" s="183">
        <v>0</v>
      </c>
      <c r="BN222" s="199">
        <v>1783</v>
      </c>
      <c r="BP222" s="199">
        <v>4132</v>
      </c>
      <c r="BS222" s="211"/>
      <c r="BV222" s="514">
        <v>4050</v>
      </c>
      <c r="BX222" s="181">
        <v>10469</v>
      </c>
      <c r="BZ222" s="349"/>
      <c r="CB222" s="340"/>
      <c r="CC222" s="488">
        <v>22</v>
      </c>
      <c r="CD222" s="378"/>
      <c r="CE222" s="378"/>
      <c r="CF222" s="195"/>
      <c r="CG222" s="349"/>
      <c r="CH222" s="347"/>
      <c r="CI222" s="181">
        <v>12095</v>
      </c>
      <c r="CJ222" s="183">
        <v>500</v>
      </c>
      <c r="CK222" s="421">
        <v>13804.275553459229</v>
      </c>
      <c r="CL222" s="494">
        <v>14177.862903989695</v>
      </c>
      <c r="CM222" s="483">
        <v>2068.1636729726342</v>
      </c>
      <c r="CN222" s="483">
        <v>2030.283383537073</v>
      </c>
      <c r="CO222" s="483">
        <v>1956.5962403691015</v>
      </c>
      <c r="CP222" s="433">
        <f t="shared" si="3"/>
        <v>-528.27555345922883</v>
      </c>
      <c r="CQ222" s="212"/>
      <c r="CR222" s="212">
        <v>67</v>
      </c>
      <c r="CS222" s="212">
        <v>-3726</v>
      </c>
      <c r="CT222" s="183">
        <v>0</v>
      </c>
      <c r="CU222" s="183">
        <v>18</v>
      </c>
      <c r="CV222" s="485">
        <v>610</v>
      </c>
      <c r="CX222" s="422"/>
      <c r="CY222" s="475"/>
      <c r="CZ222" s="450"/>
      <c r="DA222" s="394"/>
      <c r="DB222" s="394"/>
      <c r="DC222" s="347"/>
      <c r="DD222" s="394"/>
      <c r="DE222" s="394"/>
      <c r="DF222" s="394"/>
      <c r="DG222" s="394"/>
      <c r="DH222" s="394"/>
    </row>
    <row r="223" spans="1:112" x14ac:dyDescent="0.25">
      <c r="A223" s="179">
        <v>704</v>
      </c>
      <c r="B223" s="181" t="s">
        <v>249</v>
      </c>
      <c r="C223" s="373">
        <v>6327</v>
      </c>
      <c r="D223" s="360">
        <v>19.75</v>
      </c>
      <c r="E223" s="213"/>
      <c r="G223" s="363">
        <v>4375</v>
      </c>
      <c r="H223" s="363">
        <v>33993</v>
      </c>
      <c r="I223" s="349"/>
      <c r="J223" s="363">
        <v>22214</v>
      </c>
      <c r="K223" s="363">
        <v>1326</v>
      </c>
      <c r="L223" s="363">
        <v>1207</v>
      </c>
      <c r="M223" s="363">
        <v>24747</v>
      </c>
      <c r="N223" s="363">
        <v>4794</v>
      </c>
      <c r="O223" s="363">
        <v>3</v>
      </c>
      <c r="P223" s="363">
        <v>22</v>
      </c>
      <c r="Q223" s="363">
        <v>70</v>
      </c>
      <c r="R223" s="363">
        <v>2</v>
      </c>
      <c r="S223" s="363">
        <v>-28</v>
      </c>
      <c r="U223" s="363">
        <v>1687</v>
      </c>
      <c r="V223" s="363">
        <v>0</v>
      </c>
      <c r="W223" s="363">
        <v>0</v>
      </c>
      <c r="X223" s="363">
        <v>-1715</v>
      </c>
      <c r="Y223" s="363">
        <v>19</v>
      </c>
      <c r="Z223" s="363">
        <v>0</v>
      </c>
      <c r="AA223" s="363">
        <v>0</v>
      </c>
      <c r="AB223" s="363">
        <v>-1696</v>
      </c>
      <c r="AD223" s="363">
        <v>13271</v>
      </c>
      <c r="AG223" s="363">
        <v>-3929</v>
      </c>
      <c r="AH223" s="349"/>
      <c r="AJ223" s="363">
        <v>5210</v>
      </c>
      <c r="AL223" s="363">
        <v>8736</v>
      </c>
      <c r="AN223" s="349"/>
      <c r="AO223" s="454">
        <v>6354</v>
      </c>
      <c r="AP223" s="478">
        <v>19.75</v>
      </c>
      <c r="AQ223" s="213"/>
      <c r="AS223" s="509">
        <v>4837</v>
      </c>
      <c r="AT223" s="349">
        <v>35038</v>
      </c>
      <c r="AU223" s="480">
        <v>-30201</v>
      </c>
      <c r="AV223" s="199">
        <v>23874</v>
      </c>
      <c r="AW223" s="199">
        <v>1406</v>
      </c>
      <c r="AX223" s="199">
        <v>1094</v>
      </c>
      <c r="AY223" s="199">
        <v>26374</v>
      </c>
      <c r="AZ223" s="199">
        <v>7779</v>
      </c>
      <c r="BA223" s="181">
        <v>1</v>
      </c>
      <c r="BB223" s="511">
        <v>4</v>
      </c>
      <c r="BC223" s="181">
        <v>41</v>
      </c>
      <c r="BD223" s="181">
        <v>1</v>
      </c>
      <c r="BE223" s="199">
        <v>3989</v>
      </c>
      <c r="BG223" s="183">
        <v>1714</v>
      </c>
      <c r="BH223" s="183">
        <v>0</v>
      </c>
      <c r="BI223" s="183">
        <v>0</v>
      </c>
      <c r="BJ223" s="199">
        <v>2275</v>
      </c>
      <c r="BK223" s="183">
        <v>19</v>
      </c>
      <c r="BL223" s="183">
        <v>0</v>
      </c>
      <c r="BM223" s="183">
        <v>0</v>
      </c>
      <c r="BN223" s="199">
        <v>2294</v>
      </c>
      <c r="BP223" s="199">
        <v>15565</v>
      </c>
      <c r="BS223" s="211"/>
      <c r="BV223" s="514">
        <v>7612</v>
      </c>
      <c r="BX223" s="181">
        <v>8187</v>
      </c>
      <c r="BZ223" s="349"/>
      <c r="CB223" s="340"/>
      <c r="CC223" s="488">
        <v>19.75</v>
      </c>
      <c r="CD223" s="378"/>
      <c r="CE223" s="378"/>
      <c r="CF223" s="195"/>
      <c r="CG223" s="349"/>
      <c r="CI223" s="181">
        <v>5749</v>
      </c>
      <c r="CJ223" s="183">
        <v>0</v>
      </c>
      <c r="CK223" s="421">
        <v>6204.2188667945375</v>
      </c>
      <c r="CL223" s="494">
        <v>7658.951518434892</v>
      </c>
      <c r="CM223" s="483">
        <v>4618.400467724583</v>
      </c>
      <c r="CN223" s="483">
        <v>4822.3760964262738</v>
      </c>
      <c r="CO223" s="483">
        <v>4941.9416812149539</v>
      </c>
      <c r="CP223" s="433">
        <f t="shared" si="3"/>
        <v>-1410.2188667945375</v>
      </c>
      <c r="CQ223" s="212"/>
      <c r="CR223" s="212">
        <v>-889</v>
      </c>
      <c r="CS223" s="212">
        <v>-1883</v>
      </c>
      <c r="CT223" s="183">
        <v>168</v>
      </c>
      <c r="CU223" s="183">
        <v>1200</v>
      </c>
      <c r="CV223" s="485">
        <v>10</v>
      </c>
      <c r="CX223" s="422"/>
      <c r="CY223" s="475"/>
      <c r="CZ223" s="450"/>
      <c r="DA223" s="394"/>
      <c r="DB223" s="394"/>
      <c r="DC223" s="347"/>
      <c r="DD223" s="394"/>
      <c r="DE223" s="394"/>
      <c r="DF223" s="394"/>
      <c r="DG223" s="394"/>
      <c r="DH223" s="394"/>
    </row>
    <row r="224" spans="1:112" ht="12.5" x14ac:dyDescent="0.25">
      <c r="A224" s="179">
        <v>707</v>
      </c>
      <c r="B224" s="181" t="s">
        <v>250</v>
      </c>
      <c r="C224" s="373">
        <v>2126</v>
      </c>
      <c r="D224" s="360">
        <v>21.5</v>
      </c>
      <c r="E224" s="213"/>
      <c r="G224" s="363">
        <v>1953</v>
      </c>
      <c r="H224" s="363">
        <v>17151</v>
      </c>
      <c r="I224" s="349"/>
      <c r="J224" s="363">
        <v>4631</v>
      </c>
      <c r="K224" s="363">
        <v>514</v>
      </c>
      <c r="L224" s="363">
        <v>655</v>
      </c>
      <c r="M224" s="363">
        <v>5800</v>
      </c>
      <c r="N224" s="363">
        <v>9102</v>
      </c>
      <c r="O224" s="363">
        <v>67</v>
      </c>
      <c r="P224" s="363">
        <v>37</v>
      </c>
      <c r="Q224" s="363">
        <v>93</v>
      </c>
      <c r="R224" s="363">
        <v>5</v>
      </c>
      <c r="S224" s="363">
        <v>-178</v>
      </c>
      <c r="U224" s="363">
        <v>399</v>
      </c>
      <c r="V224" s="363">
        <v>0</v>
      </c>
      <c r="W224" s="363">
        <v>0</v>
      </c>
      <c r="X224" s="363">
        <v>-577</v>
      </c>
      <c r="Y224" s="363">
        <v>0</v>
      </c>
      <c r="Z224" s="363">
        <v>0</v>
      </c>
      <c r="AA224" s="363">
        <v>0</v>
      </c>
      <c r="AB224" s="363">
        <v>-577</v>
      </c>
      <c r="AD224" s="363">
        <v>1700</v>
      </c>
      <c r="AG224" s="363">
        <v>-181</v>
      </c>
      <c r="AH224" s="349"/>
      <c r="AJ224" s="363">
        <v>667</v>
      </c>
      <c r="AL224" s="363">
        <v>3785</v>
      </c>
      <c r="AN224" s="349"/>
      <c r="AO224" s="454">
        <v>2066</v>
      </c>
      <c r="AP224" s="478">
        <v>21.5</v>
      </c>
      <c r="AQ224" s="213"/>
      <c r="AS224" s="509">
        <v>1869</v>
      </c>
      <c r="AT224" s="349">
        <v>19282</v>
      </c>
      <c r="AU224" s="480">
        <v>-17413</v>
      </c>
      <c r="AV224" s="199">
        <v>5105</v>
      </c>
      <c r="AW224" s="199">
        <v>564</v>
      </c>
      <c r="AX224" s="199">
        <v>592</v>
      </c>
      <c r="AY224" s="199">
        <v>6261</v>
      </c>
      <c r="AZ224" s="199">
        <v>9826</v>
      </c>
      <c r="BA224" s="181">
        <v>66</v>
      </c>
      <c r="BB224" s="511">
        <v>34</v>
      </c>
      <c r="BC224" s="181">
        <v>94</v>
      </c>
      <c r="BD224" s="181">
        <v>5</v>
      </c>
      <c r="BE224" s="199">
        <v>-1205</v>
      </c>
      <c r="BG224" s="183">
        <v>408</v>
      </c>
      <c r="BH224" s="183">
        <v>0</v>
      </c>
      <c r="BI224" s="183">
        <v>0</v>
      </c>
      <c r="BJ224" s="199">
        <v>-1613</v>
      </c>
      <c r="BK224" s="199">
        <v>0</v>
      </c>
      <c r="BL224" s="199">
        <v>0</v>
      </c>
      <c r="BM224" s="183">
        <v>0</v>
      </c>
      <c r="BN224" s="199">
        <v>-1613</v>
      </c>
      <c r="BP224" s="199">
        <v>87</v>
      </c>
      <c r="BS224" s="211"/>
      <c r="BV224" s="515">
        <v>1192</v>
      </c>
      <c r="BX224" s="181">
        <v>6214</v>
      </c>
      <c r="BZ224" s="349"/>
      <c r="CB224" s="340"/>
      <c r="CC224" s="488">
        <v>21.5</v>
      </c>
      <c r="CD224" s="378"/>
      <c r="CE224" s="378"/>
      <c r="CF224" s="195"/>
      <c r="CG224" s="349"/>
      <c r="CH224" s="347"/>
      <c r="CI224" s="181">
        <v>8603</v>
      </c>
      <c r="CJ224" s="183">
        <v>390</v>
      </c>
      <c r="CK224" s="421">
        <v>9522.0361638586928</v>
      </c>
      <c r="CL224" s="494">
        <v>9578.2528376037571</v>
      </c>
      <c r="CM224" s="483">
        <v>820.91358935167432</v>
      </c>
      <c r="CN224" s="483">
        <v>709.18994545226337</v>
      </c>
      <c r="CO224" s="483">
        <v>661.25122253218751</v>
      </c>
      <c r="CP224" s="433">
        <f t="shared" si="3"/>
        <v>-420.03616385869282</v>
      </c>
      <c r="CQ224" s="212"/>
      <c r="CR224" s="212">
        <v>231</v>
      </c>
      <c r="CS224" s="212">
        <v>-85</v>
      </c>
      <c r="CT224" s="183">
        <v>0</v>
      </c>
      <c r="CU224" s="183">
        <v>41</v>
      </c>
      <c r="CV224" s="485">
        <v>-1002</v>
      </c>
      <c r="CX224" s="422"/>
      <c r="CY224" s="475"/>
      <c r="CZ224" s="450"/>
      <c r="DA224" s="394"/>
      <c r="DB224" s="394"/>
      <c r="DC224" s="347"/>
      <c r="DD224" s="394"/>
      <c r="DE224" s="394"/>
      <c r="DF224" s="394"/>
      <c r="DG224" s="394"/>
      <c r="DH224" s="394"/>
    </row>
    <row r="225" spans="1:112" x14ac:dyDescent="0.25">
      <c r="A225" s="179">
        <v>729</v>
      </c>
      <c r="B225" s="181" t="s">
        <v>251</v>
      </c>
      <c r="C225" s="373">
        <v>9309</v>
      </c>
      <c r="D225" s="360">
        <v>21.5</v>
      </c>
      <c r="E225" s="213"/>
      <c r="G225" s="363">
        <v>11177</v>
      </c>
      <c r="H225" s="363">
        <v>70244</v>
      </c>
      <c r="I225" s="349"/>
      <c r="J225" s="363">
        <v>25133</v>
      </c>
      <c r="K225" s="363">
        <v>2256</v>
      </c>
      <c r="L225" s="363">
        <v>2339</v>
      </c>
      <c r="M225" s="363">
        <v>29728</v>
      </c>
      <c r="N225" s="363">
        <v>30614</v>
      </c>
      <c r="O225" s="363">
        <v>28</v>
      </c>
      <c r="P225" s="363">
        <v>92</v>
      </c>
      <c r="Q225" s="363">
        <v>20</v>
      </c>
      <c r="R225" s="363">
        <v>2</v>
      </c>
      <c r="S225" s="363">
        <v>1229</v>
      </c>
      <c r="U225" s="363">
        <v>3558</v>
      </c>
      <c r="V225" s="363">
        <v>0</v>
      </c>
      <c r="W225" s="363">
        <v>0</v>
      </c>
      <c r="X225" s="363">
        <v>-2329</v>
      </c>
      <c r="Y225" s="363">
        <v>0</v>
      </c>
      <c r="Z225" s="363">
        <v>0</v>
      </c>
      <c r="AA225" s="363">
        <v>0</v>
      </c>
      <c r="AB225" s="363">
        <v>-2329</v>
      </c>
      <c r="AD225" s="363">
        <v>1401</v>
      </c>
      <c r="AG225" s="363">
        <v>-1175</v>
      </c>
      <c r="AH225" s="349"/>
      <c r="AJ225" s="363">
        <v>51</v>
      </c>
      <c r="AL225" s="363">
        <v>14048</v>
      </c>
      <c r="AN225" s="349"/>
      <c r="AO225" s="454">
        <v>9208</v>
      </c>
      <c r="AP225" s="478">
        <v>21.5</v>
      </c>
      <c r="AQ225" s="213"/>
      <c r="AS225" s="509">
        <v>9819</v>
      </c>
      <c r="AT225" s="349">
        <v>68684</v>
      </c>
      <c r="AU225" s="480">
        <v>-58865</v>
      </c>
      <c r="AV225" s="199">
        <v>25425</v>
      </c>
      <c r="AW225" s="199">
        <v>2459</v>
      </c>
      <c r="AX225" s="199">
        <v>2197</v>
      </c>
      <c r="AY225" s="199">
        <v>30081</v>
      </c>
      <c r="AZ225" s="199">
        <v>34687</v>
      </c>
      <c r="BA225" s="181">
        <v>18</v>
      </c>
      <c r="BB225" s="511">
        <v>72</v>
      </c>
      <c r="BC225" s="181">
        <v>16</v>
      </c>
      <c r="BD225" s="181">
        <v>67</v>
      </c>
      <c r="BE225" s="199">
        <v>5798</v>
      </c>
      <c r="BG225" s="183">
        <v>3297</v>
      </c>
      <c r="BH225" s="183">
        <v>0</v>
      </c>
      <c r="BI225" s="183">
        <v>0</v>
      </c>
      <c r="BJ225" s="199">
        <v>2501</v>
      </c>
      <c r="BK225" s="199">
        <v>0</v>
      </c>
      <c r="BL225" s="199">
        <v>0</v>
      </c>
      <c r="BM225" s="183">
        <v>0</v>
      </c>
      <c r="BN225" s="199">
        <v>2501</v>
      </c>
      <c r="BP225" s="199">
        <v>3902</v>
      </c>
      <c r="BS225" s="211"/>
      <c r="BV225" s="514">
        <v>1638</v>
      </c>
      <c r="BX225" s="181">
        <v>12336</v>
      </c>
      <c r="BZ225" s="349"/>
      <c r="CB225" s="340"/>
      <c r="CC225" s="488">
        <v>21.5</v>
      </c>
      <c r="CD225" s="378"/>
      <c r="CE225" s="378"/>
      <c r="CF225" s="195"/>
      <c r="CG225" s="349"/>
      <c r="CI225" s="181">
        <v>27162</v>
      </c>
      <c r="CJ225" s="183">
        <v>0</v>
      </c>
      <c r="CK225" s="421">
        <v>34042.252739640753</v>
      </c>
      <c r="CL225" s="494">
        <v>35875.527411999683</v>
      </c>
      <c r="CM225" s="483">
        <v>7643.6723141930952</v>
      </c>
      <c r="CN225" s="483">
        <v>7044.4564416785943</v>
      </c>
      <c r="CO225" s="483">
        <v>6768.768255788731</v>
      </c>
      <c r="CP225" s="433">
        <f t="shared" si="3"/>
        <v>-3428.2527396407531</v>
      </c>
      <c r="CQ225" s="212"/>
      <c r="CR225" s="212">
        <v>-24</v>
      </c>
      <c r="CS225" s="212">
        <v>-1270</v>
      </c>
      <c r="CT225" s="183">
        <v>39</v>
      </c>
      <c r="CU225" s="183">
        <v>166</v>
      </c>
      <c r="CV225" s="485">
        <v>-43</v>
      </c>
      <c r="CX225" s="422"/>
      <c r="CY225" s="475"/>
      <c r="CZ225" s="450"/>
      <c r="DA225" s="394"/>
      <c r="DB225" s="394"/>
      <c r="DC225" s="347"/>
      <c r="DD225" s="394"/>
      <c r="DE225" s="394"/>
      <c r="DF225" s="394"/>
      <c r="DG225" s="394"/>
      <c r="DH225" s="394"/>
    </row>
    <row r="226" spans="1:112" x14ac:dyDescent="0.25">
      <c r="A226" s="179">
        <v>732</v>
      </c>
      <c r="B226" s="181" t="s">
        <v>252</v>
      </c>
      <c r="C226" s="373">
        <v>3400</v>
      </c>
      <c r="D226" s="360">
        <v>20.5</v>
      </c>
      <c r="E226" s="213"/>
      <c r="G226" s="363">
        <v>6608</v>
      </c>
      <c r="H226" s="363">
        <v>36323</v>
      </c>
      <c r="I226" s="349"/>
      <c r="J226" s="363">
        <v>8745</v>
      </c>
      <c r="K226" s="363">
        <v>1074</v>
      </c>
      <c r="L226" s="363">
        <v>1270</v>
      </c>
      <c r="M226" s="363">
        <v>11089</v>
      </c>
      <c r="N226" s="363">
        <v>20264</v>
      </c>
      <c r="O226" s="363">
        <v>25</v>
      </c>
      <c r="P226" s="363">
        <v>134</v>
      </c>
      <c r="Q226" s="363">
        <v>150</v>
      </c>
      <c r="R226" s="363">
        <v>3</v>
      </c>
      <c r="S226" s="363">
        <v>1676</v>
      </c>
      <c r="U226" s="363">
        <v>1240</v>
      </c>
      <c r="V226" s="363">
        <v>0</v>
      </c>
      <c r="W226" s="363">
        <v>0</v>
      </c>
      <c r="X226" s="363">
        <v>436</v>
      </c>
      <c r="Y226" s="363">
        <v>0</v>
      </c>
      <c r="Z226" s="363">
        <v>0</v>
      </c>
      <c r="AA226" s="363">
        <v>0</v>
      </c>
      <c r="AB226" s="363">
        <v>436</v>
      </c>
      <c r="AD226" s="363">
        <v>8461</v>
      </c>
      <c r="AG226" s="363">
        <v>1711</v>
      </c>
      <c r="AH226" s="349"/>
      <c r="AJ226" s="363">
        <v>1414</v>
      </c>
      <c r="AL226" s="363">
        <v>11798</v>
      </c>
      <c r="AN226" s="349"/>
      <c r="AO226" s="454">
        <v>3407</v>
      </c>
      <c r="AP226" s="478">
        <v>20.25</v>
      </c>
      <c r="AQ226" s="213"/>
      <c r="AS226" s="509">
        <v>6171</v>
      </c>
      <c r="AT226" s="349">
        <v>36675</v>
      </c>
      <c r="AU226" s="480">
        <v>-30504</v>
      </c>
      <c r="AV226" s="199">
        <v>9068</v>
      </c>
      <c r="AW226" s="199">
        <v>1200</v>
      </c>
      <c r="AX226" s="199">
        <v>1202</v>
      </c>
      <c r="AY226" s="199">
        <v>11470</v>
      </c>
      <c r="AZ226" s="199">
        <v>21656</v>
      </c>
      <c r="BA226" s="181">
        <v>26</v>
      </c>
      <c r="BB226" s="511">
        <v>108</v>
      </c>
      <c r="BC226" s="181">
        <v>26</v>
      </c>
      <c r="BD226" s="181">
        <v>130</v>
      </c>
      <c r="BE226" s="199">
        <v>2436</v>
      </c>
      <c r="BG226" s="183">
        <v>1650</v>
      </c>
      <c r="BH226" s="183">
        <v>0</v>
      </c>
      <c r="BI226" s="183">
        <v>0</v>
      </c>
      <c r="BJ226" s="199">
        <v>786</v>
      </c>
      <c r="BK226" s="183">
        <v>0</v>
      </c>
      <c r="BL226" s="183">
        <v>0</v>
      </c>
      <c r="BM226" s="183">
        <v>0</v>
      </c>
      <c r="BN226" s="199">
        <v>786</v>
      </c>
      <c r="BP226" s="199">
        <v>9248</v>
      </c>
      <c r="BS226" s="211"/>
      <c r="BV226" s="514">
        <v>2382</v>
      </c>
      <c r="BX226" s="181">
        <v>12532</v>
      </c>
      <c r="BZ226" s="349"/>
      <c r="CB226" s="340"/>
      <c r="CC226" s="488">
        <v>20.25</v>
      </c>
      <c r="CD226" s="378"/>
      <c r="CE226" s="378"/>
      <c r="CF226" s="195"/>
      <c r="CG226" s="349"/>
      <c r="CI226" s="181">
        <v>18083</v>
      </c>
      <c r="CJ226" s="183">
        <v>0</v>
      </c>
      <c r="CK226" s="421">
        <v>20909.296305037613</v>
      </c>
      <c r="CL226" s="494">
        <v>21238.371529204422</v>
      </c>
      <c r="CM226" s="483">
        <v>4966.7060241823128</v>
      </c>
      <c r="CN226" s="483">
        <v>4849.5852850952579</v>
      </c>
      <c r="CO226" s="483">
        <v>4703.2383304964915</v>
      </c>
      <c r="CP226" s="433">
        <f t="shared" si="3"/>
        <v>-645.29630503761291</v>
      </c>
      <c r="CQ226" s="212"/>
      <c r="CR226" s="212">
        <v>-11</v>
      </c>
      <c r="CS226" s="212">
        <v>-1840</v>
      </c>
      <c r="CT226" s="183">
        <v>60</v>
      </c>
      <c r="CU226" s="183">
        <v>12</v>
      </c>
      <c r="CV226" s="485">
        <v>-60</v>
      </c>
      <c r="CX226" s="422"/>
      <c r="CY226" s="475"/>
      <c r="CZ226" s="450"/>
      <c r="DA226" s="394"/>
      <c r="DB226" s="394"/>
      <c r="DC226" s="347"/>
      <c r="DD226" s="394"/>
      <c r="DE226" s="394"/>
      <c r="DF226" s="394"/>
      <c r="DG226" s="394"/>
      <c r="DH226" s="394"/>
    </row>
    <row r="227" spans="1:112" x14ac:dyDescent="0.25">
      <c r="A227" s="179">
        <v>734</v>
      </c>
      <c r="B227" s="181" t="s">
        <v>253</v>
      </c>
      <c r="C227" s="373">
        <v>51833</v>
      </c>
      <c r="D227" s="360">
        <v>20.75</v>
      </c>
      <c r="E227" s="213"/>
      <c r="G227" s="363">
        <v>52181</v>
      </c>
      <c r="H227" s="363">
        <v>353094</v>
      </c>
      <c r="I227" s="349"/>
      <c r="J227" s="363">
        <v>162630</v>
      </c>
      <c r="K227" s="363">
        <v>11124</v>
      </c>
      <c r="L227" s="363">
        <v>14669</v>
      </c>
      <c r="M227" s="363">
        <v>188423</v>
      </c>
      <c r="N227" s="363">
        <v>110039</v>
      </c>
      <c r="O227" s="363">
        <v>546</v>
      </c>
      <c r="P227" s="363">
        <v>1274</v>
      </c>
      <c r="Q227" s="363">
        <v>325</v>
      </c>
      <c r="R227" s="363">
        <v>27</v>
      </c>
      <c r="S227" s="363">
        <v>-2881</v>
      </c>
      <c r="U227" s="363">
        <v>16164</v>
      </c>
      <c r="V227" s="363">
        <v>1233</v>
      </c>
      <c r="W227" s="363">
        <v>227</v>
      </c>
      <c r="X227" s="363">
        <v>-18039</v>
      </c>
      <c r="Y227" s="363">
        <v>534</v>
      </c>
      <c r="Z227" s="363">
        <v>0</v>
      </c>
      <c r="AA227" s="363">
        <v>0</v>
      </c>
      <c r="AB227" s="363">
        <v>-17505</v>
      </c>
      <c r="AD227" s="363">
        <v>-3379</v>
      </c>
      <c r="AG227" s="363">
        <v>-11714</v>
      </c>
      <c r="AH227" s="349"/>
      <c r="AJ227" s="363">
        <v>11578</v>
      </c>
      <c r="AL227" s="363">
        <v>112032</v>
      </c>
      <c r="AN227" s="349"/>
      <c r="AO227" s="454">
        <v>51562</v>
      </c>
      <c r="AP227" s="478">
        <v>20.75</v>
      </c>
      <c r="AQ227" s="213"/>
      <c r="AS227" s="509">
        <v>51799</v>
      </c>
      <c r="AT227" s="349">
        <v>347888</v>
      </c>
      <c r="AU227" s="480">
        <v>-296089</v>
      </c>
      <c r="AV227" s="199">
        <v>169465</v>
      </c>
      <c r="AW227" s="199">
        <v>11710</v>
      </c>
      <c r="AX227" s="199">
        <v>13491</v>
      </c>
      <c r="AY227" s="199">
        <v>194666</v>
      </c>
      <c r="AZ227" s="199">
        <v>132039</v>
      </c>
      <c r="BA227" s="181">
        <v>530</v>
      </c>
      <c r="BB227" s="511">
        <v>1124</v>
      </c>
      <c r="BC227" s="181">
        <v>387</v>
      </c>
      <c r="BD227" s="181">
        <v>2</v>
      </c>
      <c r="BE227" s="199">
        <v>30407</v>
      </c>
      <c r="BG227" s="183">
        <v>16270</v>
      </c>
      <c r="BH227" s="183">
        <v>0</v>
      </c>
      <c r="BI227" s="183">
        <v>0</v>
      </c>
      <c r="BJ227" s="199">
        <v>14137</v>
      </c>
      <c r="BK227" s="183">
        <v>534</v>
      </c>
      <c r="BL227" s="183">
        <v>0</v>
      </c>
      <c r="BM227" s="199">
        <v>0</v>
      </c>
      <c r="BN227" s="199">
        <v>14671</v>
      </c>
      <c r="BP227" s="199">
        <v>11292</v>
      </c>
      <c r="BS227" s="211"/>
      <c r="BV227" s="514">
        <v>24040</v>
      </c>
      <c r="BX227" s="181">
        <v>109178</v>
      </c>
      <c r="BZ227" s="349"/>
      <c r="CB227" s="340"/>
      <c r="CC227" s="488">
        <v>20.75</v>
      </c>
      <c r="CD227" s="378"/>
      <c r="CE227" s="378"/>
      <c r="CF227" s="195"/>
      <c r="CG227" s="349"/>
      <c r="CH227" s="347"/>
      <c r="CI227" s="181">
        <v>68524</v>
      </c>
      <c r="CJ227" s="183">
        <v>0</v>
      </c>
      <c r="CK227" s="421">
        <v>121669.69124512862</v>
      </c>
      <c r="CL227" s="494">
        <v>131459.019082213</v>
      </c>
      <c r="CM227" s="483">
        <v>19150.111196852242</v>
      </c>
      <c r="CN227" s="483">
        <v>18794.428877802118</v>
      </c>
      <c r="CO227" s="483">
        <v>18279.334833534896</v>
      </c>
      <c r="CP227" s="433">
        <f t="shared" si="3"/>
        <v>-11630.691245128619</v>
      </c>
      <c r="CQ227" s="212"/>
      <c r="CR227" s="212">
        <v>-776</v>
      </c>
      <c r="CS227" s="212">
        <v>-15270</v>
      </c>
      <c r="CT227" s="183">
        <v>135</v>
      </c>
      <c r="CU227" s="183">
        <v>1661</v>
      </c>
      <c r="CV227" s="485">
        <v>-2096</v>
      </c>
      <c r="CX227" s="422"/>
      <c r="CY227" s="475"/>
      <c r="CZ227" s="450"/>
      <c r="DA227" s="394"/>
      <c r="DB227" s="394"/>
      <c r="DC227" s="347"/>
      <c r="DD227" s="394"/>
      <c r="DE227" s="394"/>
      <c r="DF227" s="394"/>
      <c r="DG227" s="394"/>
      <c r="DH227" s="394"/>
    </row>
    <row r="228" spans="1:112" x14ac:dyDescent="0.25">
      <c r="A228" s="179">
        <v>790</v>
      </c>
      <c r="B228" s="181" t="s">
        <v>365</v>
      </c>
      <c r="C228" s="373">
        <v>24277</v>
      </c>
      <c r="D228" s="360">
        <v>20.75</v>
      </c>
      <c r="E228" s="213"/>
      <c r="G228" s="363">
        <v>35956</v>
      </c>
      <c r="H228" s="363">
        <v>178476</v>
      </c>
      <c r="I228" s="349"/>
      <c r="J228" s="363">
        <v>71198</v>
      </c>
      <c r="K228" s="363">
        <v>4745</v>
      </c>
      <c r="L228" s="363">
        <v>5878</v>
      </c>
      <c r="M228" s="363">
        <v>81821</v>
      </c>
      <c r="N228" s="363">
        <v>62751</v>
      </c>
      <c r="O228" s="363">
        <v>0</v>
      </c>
      <c r="P228" s="363">
        <v>372</v>
      </c>
      <c r="Q228" s="363">
        <v>542</v>
      </c>
      <c r="R228" s="363">
        <v>3</v>
      </c>
      <c r="S228" s="363">
        <v>2219</v>
      </c>
      <c r="U228" s="363">
        <v>7715</v>
      </c>
      <c r="V228" s="363">
        <v>0</v>
      </c>
      <c r="W228" s="363">
        <v>0</v>
      </c>
      <c r="X228" s="363">
        <v>-5496</v>
      </c>
      <c r="Y228" s="363">
        <v>252</v>
      </c>
      <c r="Z228" s="363">
        <v>0</v>
      </c>
      <c r="AA228" s="363">
        <v>0</v>
      </c>
      <c r="AB228" s="363">
        <v>-5244</v>
      </c>
      <c r="AD228" s="363">
        <v>19387</v>
      </c>
      <c r="AG228" s="363">
        <v>-13118</v>
      </c>
      <c r="AH228" s="349"/>
      <c r="AJ228" s="363">
        <v>26478</v>
      </c>
      <c r="AL228" s="363">
        <v>61567</v>
      </c>
      <c r="AN228" s="349"/>
      <c r="AO228" s="454">
        <v>24052</v>
      </c>
      <c r="AP228" s="478">
        <v>20.75</v>
      </c>
      <c r="AQ228" s="213"/>
      <c r="AS228" s="509">
        <v>36861</v>
      </c>
      <c r="AT228" s="349">
        <v>177440</v>
      </c>
      <c r="AU228" s="480">
        <v>-140579</v>
      </c>
      <c r="AV228" s="199">
        <v>72378</v>
      </c>
      <c r="AW228" s="199">
        <v>5088</v>
      </c>
      <c r="AX228" s="199">
        <v>5393</v>
      </c>
      <c r="AY228" s="199">
        <v>82859</v>
      </c>
      <c r="AZ228" s="199">
        <v>72630</v>
      </c>
      <c r="BA228" s="181">
        <v>1</v>
      </c>
      <c r="BB228" s="511">
        <v>344</v>
      </c>
      <c r="BC228" s="181">
        <v>528</v>
      </c>
      <c r="BD228" s="181">
        <v>2</v>
      </c>
      <c r="BE228" s="199">
        <v>15093</v>
      </c>
      <c r="BG228" s="183">
        <v>10734</v>
      </c>
      <c r="BH228" s="183">
        <v>0</v>
      </c>
      <c r="BI228" s="183">
        <v>0</v>
      </c>
      <c r="BJ228" s="199">
        <v>4359</v>
      </c>
      <c r="BK228" s="183">
        <v>-658</v>
      </c>
      <c r="BL228" s="199">
        <v>888</v>
      </c>
      <c r="BM228" s="183">
        <v>0</v>
      </c>
      <c r="BN228" s="199">
        <v>4589</v>
      </c>
      <c r="BP228" s="199">
        <v>23976</v>
      </c>
      <c r="BS228" s="211"/>
      <c r="BV228" s="514">
        <v>29023</v>
      </c>
      <c r="BX228" s="181">
        <v>62017</v>
      </c>
      <c r="BZ228" s="349"/>
      <c r="CB228" s="340"/>
      <c r="CC228" s="488">
        <v>20.75</v>
      </c>
      <c r="CD228" s="378"/>
      <c r="CE228" s="378"/>
      <c r="CF228" s="195"/>
      <c r="CG228" s="349"/>
      <c r="CI228" s="181">
        <v>51718</v>
      </c>
      <c r="CJ228" s="183">
        <v>0</v>
      </c>
      <c r="CK228" s="421">
        <v>69112.854021472434</v>
      </c>
      <c r="CL228" s="494">
        <v>72290.417158747456</v>
      </c>
      <c r="CM228" s="483">
        <v>16461.220965888213</v>
      </c>
      <c r="CN228" s="483">
        <v>15107.635639879869</v>
      </c>
      <c r="CO228" s="483">
        <v>13777.053224366218</v>
      </c>
      <c r="CP228" s="433">
        <f t="shared" si="3"/>
        <v>-6361.8540214724344</v>
      </c>
      <c r="CQ228" s="212"/>
      <c r="CR228" s="212">
        <v>-616</v>
      </c>
      <c r="CS228" s="212">
        <v>-11492</v>
      </c>
      <c r="CT228" s="183">
        <v>500</v>
      </c>
      <c r="CU228" s="183">
        <v>650</v>
      </c>
      <c r="CV228" s="485">
        <v>-3</v>
      </c>
      <c r="CX228" s="422"/>
      <c r="CY228" s="475"/>
      <c r="CZ228" s="450"/>
      <c r="DA228" s="394"/>
      <c r="DB228" s="394"/>
      <c r="DC228" s="347"/>
      <c r="DD228" s="394"/>
      <c r="DE228" s="394"/>
      <c r="DF228" s="394"/>
      <c r="DG228" s="394"/>
      <c r="DH228" s="394"/>
    </row>
    <row r="229" spans="1:112" x14ac:dyDescent="0.25">
      <c r="A229" s="179">
        <v>738</v>
      </c>
      <c r="B229" s="181" t="s">
        <v>254</v>
      </c>
      <c r="C229" s="373">
        <v>2945</v>
      </c>
      <c r="D229" s="360">
        <v>21.5</v>
      </c>
      <c r="E229" s="213"/>
      <c r="G229" s="363">
        <v>1646</v>
      </c>
      <c r="H229" s="363">
        <v>18029</v>
      </c>
      <c r="I229" s="349"/>
      <c r="J229" s="363">
        <v>9747</v>
      </c>
      <c r="K229" s="363">
        <v>464</v>
      </c>
      <c r="L229" s="363">
        <v>1159</v>
      </c>
      <c r="M229" s="363">
        <v>11370</v>
      </c>
      <c r="N229" s="363">
        <v>4673</v>
      </c>
      <c r="O229" s="363">
        <v>42</v>
      </c>
      <c r="P229" s="363">
        <v>4</v>
      </c>
      <c r="Q229" s="363">
        <v>9</v>
      </c>
      <c r="R229" s="363">
        <v>1</v>
      </c>
      <c r="S229" s="363">
        <v>-294</v>
      </c>
      <c r="U229" s="363">
        <v>422</v>
      </c>
      <c r="V229" s="363">
        <v>0</v>
      </c>
      <c r="W229" s="363">
        <v>0</v>
      </c>
      <c r="X229" s="363">
        <v>-716</v>
      </c>
      <c r="Y229" s="363">
        <v>0</v>
      </c>
      <c r="Z229" s="363">
        <v>0</v>
      </c>
      <c r="AA229" s="363">
        <v>0</v>
      </c>
      <c r="AB229" s="363">
        <v>-716</v>
      </c>
      <c r="AD229" s="363">
        <v>1764</v>
      </c>
      <c r="AG229" s="363">
        <v>-1451</v>
      </c>
      <c r="AH229" s="349"/>
      <c r="AJ229" s="363">
        <v>292</v>
      </c>
      <c r="AL229" s="363">
        <v>9045</v>
      </c>
      <c r="AN229" s="349"/>
      <c r="AO229" s="454">
        <v>2950</v>
      </c>
      <c r="AP229" s="478">
        <v>21.5</v>
      </c>
      <c r="AQ229" s="213"/>
      <c r="AS229" s="509">
        <v>1705</v>
      </c>
      <c r="AT229" s="349">
        <v>17462</v>
      </c>
      <c r="AU229" s="480">
        <v>-15757</v>
      </c>
      <c r="AV229" s="199">
        <v>10035</v>
      </c>
      <c r="AW229" s="199">
        <v>513</v>
      </c>
      <c r="AX229" s="199">
        <v>1083</v>
      </c>
      <c r="AY229" s="199">
        <v>11631</v>
      </c>
      <c r="AZ229" s="199">
        <v>6290</v>
      </c>
      <c r="BA229" s="181">
        <v>62</v>
      </c>
      <c r="BB229" s="511">
        <v>13</v>
      </c>
      <c r="BC229" s="181">
        <v>20</v>
      </c>
      <c r="BD229" s="181">
        <v>1</v>
      </c>
      <c r="BE229" s="199">
        <v>2232</v>
      </c>
      <c r="BG229" s="183">
        <v>381</v>
      </c>
      <c r="BH229" s="183">
        <v>0</v>
      </c>
      <c r="BI229" s="183">
        <v>0</v>
      </c>
      <c r="BJ229" s="199">
        <v>1851</v>
      </c>
      <c r="BK229" s="199">
        <v>0</v>
      </c>
      <c r="BL229" s="183">
        <v>0</v>
      </c>
      <c r="BM229" s="199">
        <v>0</v>
      </c>
      <c r="BN229" s="199">
        <v>1851</v>
      </c>
      <c r="BP229" s="199">
        <v>3615</v>
      </c>
      <c r="BS229" s="211"/>
      <c r="BV229" s="514">
        <v>287</v>
      </c>
      <c r="BX229" s="181">
        <v>10135</v>
      </c>
      <c r="BZ229" s="349"/>
      <c r="CB229" s="340"/>
      <c r="CC229" s="488">
        <v>21.5</v>
      </c>
      <c r="CD229" s="378"/>
      <c r="CE229" s="378"/>
      <c r="CF229" s="195"/>
      <c r="CG229" s="349"/>
      <c r="CI229" s="181">
        <v>5039</v>
      </c>
      <c r="CJ229" s="183">
        <v>0</v>
      </c>
      <c r="CK229" s="421">
        <v>5252.5835980781912</v>
      </c>
      <c r="CL229" s="494">
        <v>5172.6962642516428</v>
      </c>
      <c r="CM229" s="483">
        <v>1392.8266687357693</v>
      </c>
      <c r="CN229" s="483">
        <v>1349.5606541353693</v>
      </c>
      <c r="CO229" s="483">
        <v>1394.7728282550745</v>
      </c>
      <c r="CP229" s="433">
        <f t="shared" si="3"/>
        <v>-579.58359807819124</v>
      </c>
      <c r="CQ229" s="212"/>
      <c r="CR229" s="212">
        <v>-34</v>
      </c>
      <c r="CS229" s="212">
        <v>-3272</v>
      </c>
      <c r="CT229" s="183">
        <v>0</v>
      </c>
      <c r="CU229" s="183">
        <v>45</v>
      </c>
      <c r="CV229" s="485">
        <v>30</v>
      </c>
      <c r="CX229" s="422"/>
      <c r="CY229" s="475"/>
      <c r="CZ229" s="450"/>
      <c r="DA229" s="394"/>
      <c r="DB229" s="394"/>
      <c r="DC229" s="347"/>
      <c r="DD229" s="394"/>
      <c r="DE229" s="394"/>
      <c r="DF229" s="394"/>
      <c r="DG229" s="394"/>
      <c r="DH229" s="394"/>
    </row>
    <row r="230" spans="1:112" x14ac:dyDescent="0.25">
      <c r="A230" s="179">
        <v>739</v>
      </c>
      <c r="B230" s="181" t="s">
        <v>255</v>
      </c>
      <c r="C230" s="373">
        <v>3383</v>
      </c>
      <c r="D230" s="360">
        <v>21.5</v>
      </c>
      <c r="E230" s="213"/>
      <c r="G230" s="363">
        <v>6347</v>
      </c>
      <c r="H230" s="363">
        <v>26510</v>
      </c>
      <c r="I230" s="349"/>
      <c r="J230" s="363">
        <v>9638</v>
      </c>
      <c r="K230" s="363">
        <v>1165</v>
      </c>
      <c r="L230" s="363">
        <v>1382</v>
      </c>
      <c r="M230" s="363">
        <v>12185</v>
      </c>
      <c r="N230" s="363">
        <v>11857</v>
      </c>
      <c r="O230" s="363">
        <v>26</v>
      </c>
      <c r="P230" s="363">
        <v>72</v>
      </c>
      <c r="Q230" s="363">
        <v>8</v>
      </c>
      <c r="R230" s="363">
        <v>0</v>
      </c>
      <c r="S230" s="363">
        <v>3841</v>
      </c>
      <c r="U230" s="363">
        <v>1191</v>
      </c>
      <c r="V230" s="363">
        <v>0</v>
      </c>
      <c r="W230" s="363">
        <v>0</v>
      </c>
      <c r="X230" s="363">
        <v>2650</v>
      </c>
      <c r="Y230" s="363">
        <v>0</v>
      </c>
      <c r="Z230" s="363">
        <v>0</v>
      </c>
      <c r="AA230" s="363">
        <v>0</v>
      </c>
      <c r="AB230" s="363">
        <v>2650</v>
      </c>
      <c r="AD230" s="363">
        <v>6361</v>
      </c>
      <c r="AG230" s="363">
        <v>-741</v>
      </c>
      <c r="AH230" s="349"/>
      <c r="AJ230" s="363">
        <v>880</v>
      </c>
      <c r="AL230" s="363">
        <v>6880</v>
      </c>
      <c r="AN230" s="349"/>
      <c r="AO230" s="454">
        <v>3326</v>
      </c>
      <c r="AP230" s="478">
        <v>21.5</v>
      </c>
      <c r="AQ230" s="213"/>
      <c r="AS230" s="509">
        <v>5963</v>
      </c>
      <c r="AT230" s="349">
        <v>29882</v>
      </c>
      <c r="AU230" s="480">
        <v>-23919</v>
      </c>
      <c r="AV230" s="199">
        <v>10252</v>
      </c>
      <c r="AW230" s="199">
        <v>1253</v>
      </c>
      <c r="AX230" s="199">
        <v>1238</v>
      </c>
      <c r="AY230" s="199">
        <v>12743</v>
      </c>
      <c r="AZ230" s="199">
        <v>13386</v>
      </c>
      <c r="BA230" s="181">
        <v>43</v>
      </c>
      <c r="BB230" s="511">
        <v>65</v>
      </c>
      <c r="BC230" s="181">
        <v>4</v>
      </c>
      <c r="BD230" s="181">
        <v>0</v>
      </c>
      <c r="BE230" s="199">
        <v>2192</v>
      </c>
      <c r="BG230" s="183">
        <v>1180</v>
      </c>
      <c r="BH230" s="199">
        <v>0</v>
      </c>
      <c r="BI230" s="199">
        <v>0</v>
      </c>
      <c r="BJ230" s="199">
        <v>1012</v>
      </c>
      <c r="BK230" s="199">
        <v>0</v>
      </c>
      <c r="BL230" s="183">
        <v>0</v>
      </c>
      <c r="BM230" s="183">
        <v>0</v>
      </c>
      <c r="BN230" s="199">
        <v>1012</v>
      </c>
      <c r="BP230" s="199">
        <v>7373</v>
      </c>
      <c r="BS230" s="211"/>
      <c r="BV230" s="514">
        <v>5398</v>
      </c>
      <c r="BX230" s="181">
        <v>6088</v>
      </c>
      <c r="BZ230" s="349"/>
      <c r="CB230" s="340"/>
      <c r="CC230" s="488">
        <v>21.5</v>
      </c>
      <c r="CD230" s="378"/>
      <c r="CE230" s="378"/>
      <c r="CF230" s="195"/>
      <c r="CG230" s="349"/>
      <c r="CI230" s="181">
        <v>10245</v>
      </c>
      <c r="CJ230" s="183">
        <v>0</v>
      </c>
      <c r="CK230" s="421">
        <v>12894.005614054353</v>
      </c>
      <c r="CL230" s="494">
        <v>13674.632778679403</v>
      </c>
      <c r="CM230" s="483">
        <v>3579.5527911231693</v>
      </c>
      <c r="CN230" s="483">
        <v>3392.9132453624397</v>
      </c>
      <c r="CO230" s="483">
        <v>3202.5916085517911</v>
      </c>
      <c r="CP230" s="433">
        <f t="shared" si="3"/>
        <v>-1037.0056140543529</v>
      </c>
      <c r="CQ230" s="212"/>
      <c r="CR230" s="212">
        <v>986</v>
      </c>
      <c r="CS230" s="212">
        <v>-826</v>
      </c>
      <c r="CT230" s="183">
        <v>0</v>
      </c>
      <c r="CU230" s="183">
        <v>1</v>
      </c>
      <c r="CV230" s="485">
        <v>5</v>
      </c>
      <c r="CX230" s="422"/>
      <c r="CY230" s="475"/>
      <c r="CZ230" s="450"/>
      <c r="DA230" s="394"/>
      <c r="DB230" s="394"/>
      <c r="DC230" s="347"/>
      <c r="DD230" s="394"/>
      <c r="DE230" s="394"/>
      <c r="DF230" s="394"/>
      <c r="DG230" s="394"/>
      <c r="DH230" s="394"/>
    </row>
    <row r="231" spans="1:112" x14ac:dyDescent="0.25">
      <c r="A231" s="179">
        <v>740</v>
      </c>
      <c r="B231" s="181" t="s">
        <v>256</v>
      </c>
      <c r="C231" s="373">
        <v>32974</v>
      </c>
      <c r="D231" s="360">
        <v>22.25</v>
      </c>
      <c r="E231" s="213"/>
      <c r="G231" s="363">
        <v>26926</v>
      </c>
      <c r="H231" s="363">
        <v>237546</v>
      </c>
      <c r="I231" s="349"/>
      <c r="J231" s="363">
        <v>108328</v>
      </c>
      <c r="K231" s="363">
        <v>10348</v>
      </c>
      <c r="L231" s="363">
        <v>12976</v>
      </c>
      <c r="M231" s="363">
        <v>131652</v>
      </c>
      <c r="N231" s="363">
        <v>84291</v>
      </c>
      <c r="O231" s="363">
        <v>69</v>
      </c>
      <c r="P231" s="363">
        <v>549</v>
      </c>
      <c r="Q231" s="363">
        <v>1127</v>
      </c>
      <c r="R231" s="363">
        <v>20</v>
      </c>
      <c r="S231" s="363">
        <v>5950</v>
      </c>
      <c r="U231" s="363">
        <v>9627</v>
      </c>
      <c r="V231" s="363">
        <v>0</v>
      </c>
      <c r="W231" s="363">
        <v>2402</v>
      </c>
      <c r="X231" s="363">
        <v>-6079</v>
      </c>
      <c r="Y231" s="363">
        <v>26</v>
      </c>
      <c r="Z231" s="363">
        <v>0</v>
      </c>
      <c r="AA231" s="363">
        <v>0</v>
      </c>
      <c r="AB231" s="363">
        <v>-6053</v>
      </c>
      <c r="AD231" s="363">
        <v>-9713</v>
      </c>
      <c r="AG231" s="363">
        <v>-9855</v>
      </c>
      <c r="AH231" s="349"/>
      <c r="AJ231" s="363">
        <v>6902</v>
      </c>
      <c r="AL231" s="363">
        <v>123872</v>
      </c>
      <c r="AN231" s="349"/>
      <c r="AO231" s="454">
        <v>32662</v>
      </c>
      <c r="AP231" s="478">
        <v>22.75</v>
      </c>
      <c r="AQ231" s="213"/>
      <c r="AS231" s="509">
        <v>26673</v>
      </c>
      <c r="AT231" s="349">
        <v>234628</v>
      </c>
      <c r="AU231" s="480">
        <v>-207955</v>
      </c>
      <c r="AV231" s="199">
        <v>115830</v>
      </c>
      <c r="AW231" s="199">
        <v>11110</v>
      </c>
      <c r="AX231" s="199">
        <v>12338</v>
      </c>
      <c r="AY231" s="199">
        <v>139278</v>
      </c>
      <c r="AZ231" s="199">
        <v>100633</v>
      </c>
      <c r="BA231" s="181">
        <v>32</v>
      </c>
      <c r="BB231" s="511">
        <v>390</v>
      </c>
      <c r="BC231" s="181">
        <v>1168</v>
      </c>
      <c r="BD231" s="181">
        <v>7</v>
      </c>
      <c r="BE231" s="199">
        <v>32759</v>
      </c>
      <c r="BG231" s="183">
        <v>10665</v>
      </c>
      <c r="BH231" s="199">
        <v>0</v>
      </c>
      <c r="BI231" s="183">
        <v>0</v>
      </c>
      <c r="BJ231" s="199">
        <v>22094</v>
      </c>
      <c r="BK231" s="183">
        <v>26</v>
      </c>
      <c r="BL231" s="183">
        <v>0</v>
      </c>
      <c r="BM231" s="183">
        <v>0</v>
      </c>
      <c r="BN231" s="199">
        <v>22120</v>
      </c>
      <c r="BP231" s="199">
        <v>12407</v>
      </c>
      <c r="BS231" s="211"/>
      <c r="BV231" s="514">
        <v>25915</v>
      </c>
      <c r="BX231" s="181">
        <v>116842</v>
      </c>
      <c r="BZ231" s="349"/>
      <c r="CB231" s="340"/>
      <c r="CC231" s="488">
        <v>22.75</v>
      </c>
      <c r="CD231" s="378"/>
      <c r="CE231" s="378"/>
      <c r="CF231" s="195"/>
      <c r="CG231" s="349"/>
      <c r="CI231" s="181">
        <v>49726</v>
      </c>
      <c r="CJ231" s="183">
        <v>0</v>
      </c>
      <c r="CK231" s="421">
        <v>92586.186453134418</v>
      </c>
      <c r="CL231" s="494">
        <v>96818.756042313093</v>
      </c>
      <c r="CM231" s="483">
        <v>5534.4880460148306</v>
      </c>
      <c r="CN231" s="483">
        <v>5836.2472757309843</v>
      </c>
      <c r="CO231" s="483">
        <v>5882.2491426206179</v>
      </c>
      <c r="CP231" s="433">
        <f t="shared" si="3"/>
        <v>-8295.1864531344181</v>
      </c>
      <c r="CQ231" s="212"/>
      <c r="CR231" s="212">
        <v>-1262</v>
      </c>
      <c r="CS231" s="212">
        <v>-14798</v>
      </c>
      <c r="CT231" s="183">
        <v>507</v>
      </c>
      <c r="CU231" s="183">
        <v>1316</v>
      </c>
      <c r="CV231" s="485">
        <v>4149</v>
      </c>
      <c r="CX231" s="422"/>
      <c r="CY231" s="475"/>
      <c r="CZ231" s="450"/>
      <c r="DA231" s="394"/>
      <c r="DB231" s="394"/>
      <c r="DC231" s="347"/>
      <c r="DD231" s="394"/>
      <c r="DE231" s="394"/>
      <c r="DF231" s="394"/>
      <c r="DG231" s="394"/>
      <c r="DH231" s="394"/>
    </row>
    <row r="232" spans="1:112" x14ac:dyDescent="0.25">
      <c r="A232" s="179">
        <v>742</v>
      </c>
      <c r="B232" s="181" t="s">
        <v>257</v>
      </c>
      <c r="C232" s="373">
        <v>1005</v>
      </c>
      <c r="D232" s="360">
        <v>21.75</v>
      </c>
      <c r="E232" s="213"/>
      <c r="G232" s="363">
        <v>1324</v>
      </c>
      <c r="H232" s="363">
        <v>10179</v>
      </c>
      <c r="I232" s="349"/>
      <c r="J232" s="363">
        <v>2995</v>
      </c>
      <c r="K232" s="363">
        <v>986</v>
      </c>
      <c r="L232" s="363">
        <v>399</v>
      </c>
      <c r="M232" s="363">
        <v>4380</v>
      </c>
      <c r="N232" s="363">
        <v>4567</v>
      </c>
      <c r="O232" s="363">
        <v>0</v>
      </c>
      <c r="P232" s="363">
        <v>12</v>
      </c>
      <c r="Q232" s="363">
        <v>26</v>
      </c>
      <c r="R232" s="363">
        <v>1</v>
      </c>
      <c r="S232" s="363">
        <v>105</v>
      </c>
      <c r="U232" s="363">
        <v>289</v>
      </c>
      <c r="V232" s="363">
        <v>0</v>
      </c>
      <c r="W232" s="363">
        <v>0</v>
      </c>
      <c r="X232" s="363">
        <v>-184</v>
      </c>
      <c r="Y232" s="363">
        <v>8</v>
      </c>
      <c r="Z232" s="363">
        <v>0</v>
      </c>
      <c r="AA232" s="363">
        <v>0</v>
      </c>
      <c r="AB232" s="363">
        <v>-176</v>
      </c>
      <c r="AD232" s="363">
        <v>1459</v>
      </c>
      <c r="AG232" s="363">
        <v>-44</v>
      </c>
      <c r="AH232" s="349"/>
      <c r="AJ232" s="363">
        <v>1677</v>
      </c>
      <c r="AL232" s="363">
        <v>1509</v>
      </c>
      <c r="AN232" s="349"/>
      <c r="AO232" s="454">
        <v>1009</v>
      </c>
      <c r="AP232" s="478">
        <v>21.75</v>
      </c>
      <c r="AQ232" s="213"/>
      <c r="AS232" s="509">
        <v>1278</v>
      </c>
      <c r="AT232" s="349">
        <v>10174</v>
      </c>
      <c r="AU232" s="480">
        <v>-8896</v>
      </c>
      <c r="AV232" s="199">
        <v>2753</v>
      </c>
      <c r="AW232" s="199">
        <v>1089</v>
      </c>
      <c r="AX232" s="199">
        <v>364</v>
      </c>
      <c r="AY232" s="199">
        <v>4206</v>
      </c>
      <c r="AZ232" s="199">
        <v>4976</v>
      </c>
      <c r="BA232" s="181">
        <v>0</v>
      </c>
      <c r="BB232" s="511">
        <v>11</v>
      </c>
      <c r="BC232" s="181">
        <v>8</v>
      </c>
      <c r="BD232" s="181">
        <v>8</v>
      </c>
      <c r="BE232" s="199">
        <v>275</v>
      </c>
      <c r="BG232" s="183">
        <v>781</v>
      </c>
      <c r="BH232" s="183">
        <v>0</v>
      </c>
      <c r="BI232" s="183">
        <v>0</v>
      </c>
      <c r="BJ232" s="199">
        <v>-506</v>
      </c>
      <c r="BK232" s="183">
        <v>8</v>
      </c>
      <c r="BL232" s="183">
        <v>0</v>
      </c>
      <c r="BM232" s="183">
        <v>0</v>
      </c>
      <c r="BN232" s="199">
        <v>-498</v>
      </c>
      <c r="BP232" s="199">
        <v>962</v>
      </c>
      <c r="BS232" s="211"/>
      <c r="BV232" s="514">
        <v>2030</v>
      </c>
      <c r="BX232" s="181">
        <v>1289</v>
      </c>
      <c r="BZ232" s="349"/>
      <c r="CB232" s="340"/>
      <c r="CC232" s="488">
        <v>21.75</v>
      </c>
      <c r="CD232" s="378"/>
      <c r="CE232" s="378"/>
      <c r="CF232" s="195"/>
      <c r="CG232" s="349"/>
      <c r="CH232" s="347"/>
      <c r="CI232" s="181">
        <v>4187</v>
      </c>
      <c r="CJ232" s="183">
        <v>0</v>
      </c>
      <c r="CK232" s="421">
        <v>4959.0064004377273</v>
      </c>
      <c r="CL232" s="494">
        <v>4806.4236564709854</v>
      </c>
      <c r="CM232" s="483">
        <v>936.19954311163883</v>
      </c>
      <c r="CN232" s="483">
        <v>951.70844892896719</v>
      </c>
      <c r="CO232" s="483">
        <v>1007.8638602738041</v>
      </c>
      <c r="CP232" s="433">
        <f t="shared" si="3"/>
        <v>-392.00640043772728</v>
      </c>
      <c r="CQ232" s="212"/>
      <c r="CR232" s="212">
        <v>-5</v>
      </c>
      <c r="CS232" s="212">
        <v>-313</v>
      </c>
      <c r="CT232" s="183">
        <v>8</v>
      </c>
      <c r="CU232" s="183">
        <v>5</v>
      </c>
      <c r="CV232" s="485">
        <v>0</v>
      </c>
      <c r="CX232" s="422"/>
      <c r="CY232" s="475"/>
      <c r="CZ232" s="450"/>
      <c r="DA232" s="394"/>
      <c r="DB232" s="394"/>
      <c r="DC232" s="347"/>
      <c r="DD232" s="394"/>
      <c r="DE232" s="394"/>
      <c r="DF232" s="394"/>
      <c r="DG232" s="394"/>
      <c r="DH232" s="394"/>
    </row>
    <row r="233" spans="1:112" x14ac:dyDescent="0.25">
      <c r="A233" s="179">
        <v>743</v>
      </c>
      <c r="B233" s="181" t="s">
        <v>258</v>
      </c>
      <c r="C233" s="373">
        <v>63781</v>
      </c>
      <c r="D233" s="360">
        <v>21</v>
      </c>
      <c r="E233" s="213"/>
      <c r="G233" s="363">
        <v>66619</v>
      </c>
      <c r="H233" s="363">
        <v>430172</v>
      </c>
      <c r="I233" s="349"/>
      <c r="J233" s="363">
        <v>216332</v>
      </c>
      <c r="K233" s="363">
        <v>14991</v>
      </c>
      <c r="L233" s="363">
        <v>25777</v>
      </c>
      <c r="M233" s="363">
        <v>257100</v>
      </c>
      <c r="N233" s="363">
        <v>97793</v>
      </c>
      <c r="O233" s="363">
        <v>5515</v>
      </c>
      <c r="P233" s="363">
        <v>1581</v>
      </c>
      <c r="Q233" s="363">
        <v>4795</v>
      </c>
      <c r="R233" s="363">
        <v>318</v>
      </c>
      <c r="S233" s="363">
        <v>-249</v>
      </c>
      <c r="U233" s="363">
        <v>22197</v>
      </c>
      <c r="V233" s="363">
        <v>0</v>
      </c>
      <c r="W233" s="363">
        <v>0</v>
      </c>
      <c r="X233" s="363">
        <v>-22446</v>
      </c>
      <c r="Y233" s="363">
        <v>35</v>
      </c>
      <c r="Z233" s="363">
        <v>0</v>
      </c>
      <c r="AA233" s="363">
        <v>15</v>
      </c>
      <c r="AB233" s="363">
        <v>-22396</v>
      </c>
      <c r="AD233" s="363">
        <v>13541</v>
      </c>
      <c r="AG233" s="363">
        <v>-37761</v>
      </c>
      <c r="AH233" s="349"/>
      <c r="AJ233" s="363">
        <v>6020</v>
      </c>
      <c r="AL233" s="363">
        <v>331737</v>
      </c>
      <c r="AN233" s="349"/>
      <c r="AO233" s="454">
        <v>64130</v>
      </c>
      <c r="AP233" s="478">
        <v>21</v>
      </c>
      <c r="AQ233" s="213"/>
      <c r="AS233" s="509">
        <v>68692</v>
      </c>
      <c r="AT233" s="349">
        <v>433070</v>
      </c>
      <c r="AU233" s="480">
        <v>-364378</v>
      </c>
      <c r="AV233" s="199">
        <v>226354</v>
      </c>
      <c r="AW233" s="199">
        <v>16434</v>
      </c>
      <c r="AX233" s="199">
        <v>23795</v>
      </c>
      <c r="AY233" s="199">
        <v>266583</v>
      </c>
      <c r="AZ233" s="199">
        <v>127063</v>
      </c>
      <c r="BA233" s="181">
        <v>5348</v>
      </c>
      <c r="BB233" s="511">
        <v>1568</v>
      </c>
      <c r="BC233" s="181">
        <v>5395</v>
      </c>
      <c r="BD233" s="181">
        <v>339</v>
      </c>
      <c r="BE233" s="199">
        <v>38104</v>
      </c>
      <c r="BG233" s="183">
        <v>24934</v>
      </c>
      <c r="BH233" s="199">
        <v>0</v>
      </c>
      <c r="BI233" s="199">
        <v>0</v>
      </c>
      <c r="BJ233" s="199">
        <v>13170</v>
      </c>
      <c r="BK233" s="199">
        <v>35</v>
      </c>
      <c r="BL233" s="183">
        <v>0</v>
      </c>
      <c r="BM233" s="183">
        <v>3</v>
      </c>
      <c r="BN233" s="199">
        <v>13208</v>
      </c>
      <c r="BP233" s="199">
        <v>26749</v>
      </c>
      <c r="BS233" s="211"/>
      <c r="BV233" s="514">
        <v>12981</v>
      </c>
      <c r="BX233" s="181">
        <v>332644</v>
      </c>
      <c r="BZ233" s="349"/>
      <c r="CB233" s="340"/>
      <c r="CC233" s="488">
        <v>21</v>
      </c>
      <c r="CD233" s="378"/>
      <c r="CE233" s="378"/>
      <c r="CF233" s="195"/>
      <c r="CG233" s="349"/>
      <c r="CI233" s="181">
        <v>68593</v>
      </c>
      <c r="CJ233" s="183">
        <v>0</v>
      </c>
      <c r="CK233" s="421">
        <v>115620.03633676225</v>
      </c>
      <c r="CL233" s="494">
        <v>124673.12105253479</v>
      </c>
      <c r="CM233" s="483">
        <v>30164.406538018477</v>
      </c>
      <c r="CN233" s="483">
        <v>33047.499538195472</v>
      </c>
      <c r="CO233" s="483">
        <v>36165.323205080422</v>
      </c>
      <c r="CP233" s="433">
        <f t="shared" si="3"/>
        <v>-17827.036336762249</v>
      </c>
      <c r="CQ233" s="212"/>
      <c r="CR233" s="212">
        <v>-6144</v>
      </c>
      <c r="CS233" s="212">
        <v>-35802</v>
      </c>
      <c r="CT233" s="183">
        <v>1084</v>
      </c>
      <c r="CU233" s="183">
        <v>8123</v>
      </c>
      <c r="CV233" s="485">
        <v>3638</v>
      </c>
      <c r="CX233" s="422"/>
      <c r="CY233" s="475"/>
      <c r="CZ233" s="450"/>
      <c r="DA233" s="394"/>
      <c r="DB233" s="394"/>
      <c r="DC233" s="347"/>
      <c r="DD233" s="394"/>
      <c r="DE233" s="394"/>
      <c r="DF233" s="394"/>
      <c r="DG233" s="394"/>
      <c r="DH233" s="394"/>
    </row>
    <row r="234" spans="1:112" x14ac:dyDescent="0.25">
      <c r="A234" s="179">
        <v>746</v>
      </c>
      <c r="B234" s="181" t="s">
        <v>259</v>
      </c>
      <c r="C234" s="373">
        <v>4910</v>
      </c>
      <c r="D234" s="360">
        <v>21.75</v>
      </c>
      <c r="E234" s="213"/>
      <c r="G234" s="363">
        <v>3210</v>
      </c>
      <c r="H234" s="363">
        <v>36499</v>
      </c>
      <c r="I234" s="349"/>
      <c r="J234" s="363">
        <v>12439</v>
      </c>
      <c r="K234" s="363">
        <v>1945</v>
      </c>
      <c r="L234" s="363">
        <v>1048</v>
      </c>
      <c r="M234" s="363">
        <v>15432</v>
      </c>
      <c r="N234" s="363">
        <v>17922</v>
      </c>
      <c r="O234" s="363">
        <v>22</v>
      </c>
      <c r="P234" s="363">
        <v>70</v>
      </c>
      <c r="Q234" s="363">
        <v>52</v>
      </c>
      <c r="R234" s="363">
        <v>3</v>
      </c>
      <c r="S234" s="363">
        <v>66</v>
      </c>
      <c r="U234" s="363">
        <v>924</v>
      </c>
      <c r="V234" s="363">
        <v>0</v>
      </c>
      <c r="W234" s="363">
        <v>0</v>
      </c>
      <c r="X234" s="363">
        <v>-858</v>
      </c>
      <c r="Y234" s="363">
        <v>10</v>
      </c>
      <c r="Z234" s="363">
        <v>0</v>
      </c>
      <c r="AA234" s="363">
        <v>0</v>
      </c>
      <c r="AB234" s="363">
        <v>-848</v>
      </c>
      <c r="AD234" s="363">
        <v>2457</v>
      </c>
      <c r="AG234" s="363">
        <v>-3232</v>
      </c>
      <c r="AH234" s="349"/>
      <c r="AJ234" s="363">
        <v>5088</v>
      </c>
      <c r="AL234" s="363">
        <v>21853</v>
      </c>
      <c r="AN234" s="349"/>
      <c r="AO234" s="454">
        <v>4834</v>
      </c>
      <c r="AP234" s="478">
        <v>21.75</v>
      </c>
      <c r="AQ234" s="213"/>
      <c r="AS234" s="509">
        <v>3269</v>
      </c>
      <c r="AT234" s="349">
        <v>36127</v>
      </c>
      <c r="AU234" s="480">
        <v>-32858</v>
      </c>
      <c r="AV234" s="199">
        <v>12984</v>
      </c>
      <c r="AW234" s="199">
        <v>2080</v>
      </c>
      <c r="AX234" s="199">
        <v>1020</v>
      </c>
      <c r="AY234" s="199">
        <v>16084</v>
      </c>
      <c r="AZ234" s="199">
        <v>20917</v>
      </c>
      <c r="BA234" s="181">
        <v>20</v>
      </c>
      <c r="BB234" s="511">
        <v>69</v>
      </c>
      <c r="BC234" s="181">
        <v>78</v>
      </c>
      <c r="BD234" s="181">
        <v>1</v>
      </c>
      <c r="BE234" s="199">
        <v>4171</v>
      </c>
      <c r="BG234" s="183">
        <v>1150</v>
      </c>
      <c r="BH234" s="183">
        <v>0</v>
      </c>
      <c r="BI234" s="199">
        <v>0</v>
      </c>
      <c r="BJ234" s="199">
        <v>3021</v>
      </c>
      <c r="BK234" s="199">
        <v>100</v>
      </c>
      <c r="BL234" s="183">
        <v>0</v>
      </c>
      <c r="BM234" s="183">
        <v>0</v>
      </c>
      <c r="BN234" s="199">
        <v>3121</v>
      </c>
      <c r="BP234" s="199">
        <v>5577</v>
      </c>
      <c r="BS234" s="211"/>
      <c r="BV234" s="514">
        <v>7099</v>
      </c>
      <c r="BX234" s="181">
        <v>20838</v>
      </c>
      <c r="BZ234" s="349"/>
      <c r="CB234" s="340"/>
      <c r="CC234" s="488">
        <v>21.75</v>
      </c>
      <c r="CD234" s="378"/>
      <c r="CE234" s="378"/>
      <c r="CF234" s="195"/>
      <c r="CG234" s="349"/>
      <c r="CH234" s="347"/>
      <c r="CI234" s="181">
        <v>15513</v>
      </c>
      <c r="CJ234" s="183">
        <v>0</v>
      </c>
      <c r="CK234" s="421">
        <v>20139.776508402803</v>
      </c>
      <c r="CL234" s="494">
        <v>20261.225451988568</v>
      </c>
      <c r="CM234" s="483">
        <v>7135.7883385947671</v>
      </c>
      <c r="CN234" s="483">
        <v>7239.6413590638649</v>
      </c>
      <c r="CO234" s="483">
        <v>6985.2296864233531</v>
      </c>
      <c r="CP234" s="433">
        <f t="shared" si="3"/>
        <v>-2217.7765084028033</v>
      </c>
      <c r="CQ234" s="212"/>
      <c r="CR234" s="212">
        <v>9</v>
      </c>
      <c r="CS234" s="212">
        <v>-476</v>
      </c>
      <c r="CT234" s="183">
        <v>100</v>
      </c>
      <c r="CU234" s="183">
        <v>166</v>
      </c>
      <c r="CV234" s="485">
        <v>83</v>
      </c>
      <c r="CX234" s="422"/>
      <c r="CY234" s="475"/>
      <c r="CZ234" s="450"/>
      <c r="DA234" s="394"/>
      <c r="DB234" s="394"/>
      <c r="DC234" s="347"/>
      <c r="DD234" s="394"/>
      <c r="DE234" s="394"/>
      <c r="DF234" s="394"/>
      <c r="DG234" s="394"/>
      <c r="DH234" s="394"/>
    </row>
    <row r="235" spans="1:112" x14ac:dyDescent="0.25">
      <c r="A235" s="179">
        <v>747</v>
      </c>
      <c r="B235" s="181" t="s">
        <v>260</v>
      </c>
      <c r="C235" s="373">
        <v>1437</v>
      </c>
      <c r="D235" s="360">
        <v>22</v>
      </c>
      <c r="E235" s="213"/>
      <c r="G235" s="363">
        <v>1417</v>
      </c>
      <c r="H235" s="363">
        <v>9650</v>
      </c>
      <c r="I235" s="349"/>
      <c r="J235" s="363">
        <v>3403</v>
      </c>
      <c r="K235" s="363">
        <v>613</v>
      </c>
      <c r="L235" s="363">
        <v>769</v>
      </c>
      <c r="M235" s="363">
        <v>4785</v>
      </c>
      <c r="N235" s="363">
        <v>5050</v>
      </c>
      <c r="O235" s="363">
        <v>0</v>
      </c>
      <c r="P235" s="363">
        <v>15</v>
      </c>
      <c r="Q235" s="363">
        <v>11</v>
      </c>
      <c r="R235" s="363">
        <v>2</v>
      </c>
      <c r="S235" s="363">
        <v>1596</v>
      </c>
      <c r="U235" s="363">
        <v>537</v>
      </c>
      <c r="V235" s="363">
        <v>0</v>
      </c>
      <c r="W235" s="363">
        <v>0</v>
      </c>
      <c r="X235" s="363">
        <v>1059</v>
      </c>
      <c r="Y235" s="363">
        <v>0</v>
      </c>
      <c r="Z235" s="363">
        <v>0</v>
      </c>
      <c r="AA235" s="363">
        <v>0</v>
      </c>
      <c r="AB235" s="363">
        <v>1059</v>
      </c>
      <c r="AD235" s="363">
        <v>3227</v>
      </c>
      <c r="AG235" s="363">
        <v>-177</v>
      </c>
      <c r="AH235" s="349"/>
      <c r="AJ235" s="363">
        <v>3320</v>
      </c>
      <c r="AL235" s="363">
        <v>1900</v>
      </c>
      <c r="AN235" s="349"/>
      <c r="AO235" s="454">
        <v>1385</v>
      </c>
      <c r="AP235" s="478">
        <v>22</v>
      </c>
      <c r="AQ235" s="213"/>
      <c r="AS235" s="509">
        <v>1380</v>
      </c>
      <c r="AT235" s="349">
        <v>10243</v>
      </c>
      <c r="AU235" s="480">
        <v>-8863</v>
      </c>
      <c r="AV235" s="199">
        <v>3463</v>
      </c>
      <c r="AW235" s="199">
        <v>681</v>
      </c>
      <c r="AX235" s="199">
        <v>670</v>
      </c>
      <c r="AY235" s="199">
        <v>4814</v>
      </c>
      <c r="AZ235" s="199">
        <v>5543</v>
      </c>
      <c r="BA235" s="181">
        <v>0</v>
      </c>
      <c r="BB235" s="511">
        <v>12</v>
      </c>
      <c r="BC235" s="181">
        <v>9</v>
      </c>
      <c r="BD235" s="181">
        <v>2</v>
      </c>
      <c r="BE235" s="199">
        <v>1489</v>
      </c>
      <c r="BG235" s="183">
        <v>550</v>
      </c>
      <c r="BH235" s="199">
        <v>0</v>
      </c>
      <c r="BI235" s="199">
        <v>0</v>
      </c>
      <c r="BJ235" s="199">
        <v>939</v>
      </c>
      <c r="BK235" s="183">
        <v>0</v>
      </c>
      <c r="BL235" s="199">
        <v>0</v>
      </c>
      <c r="BM235" s="199">
        <v>0</v>
      </c>
      <c r="BN235" s="199">
        <v>939</v>
      </c>
      <c r="BP235" s="199">
        <v>4179</v>
      </c>
      <c r="BS235" s="211"/>
      <c r="BV235" s="514">
        <v>4335</v>
      </c>
      <c r="BX235" s="181">
        <v>1530</v>
      </c>
      <c r="BZ235" s="349"/>
      <c r="CB235" s="340"/>
      <c r="CC235" s="488">
        <v>22</v>
      </c>
      <c r="CD235" s="378"/>
      <c r="CE235" s="378"/>
      <c r="CF235" s="195"/>
      <c r="CG235" s="349"/>
      <c r="CI235" s="181">
        <v>4822</v>
      </c>
      <c r="CJ235" s="183">
        <v>0</v>
      </c>
      <c r="CK235" s="421">
        <v>5319.1746183556324</v>
      </c>
      <c r="CL235" s="494">
        <v>5582.8908842739474</v>
      </c>
      <c r="CM235" s="483">
        <v>1235.3868413532496</v>
      </c>
      <c r="CN235" s="483">
        <v>1261.8458827943532</v>
      </c>
      <c r="CO235" s="483">
        <v>1256.5735665975681</v>
      </c>
      <c r="CP235" s="433">
        <f t="shared" si="3"/>
        <v>-269.17461835563245</v>
      </c>
      <c r="CQ235" s="212"/>
      <c r="CR235" s="212">
        <v>-44</v>
      </c>
      <c r="CS235" s="212">
        <v>-363</v>
      </c>
      <c r="CT235" s="183">
        <v>0</v>
      </c>
      <c r="CU235" s="183">
        <v>49</v>
      </c>
      <c r="CV235" s="485">
        <v>-12</v>
      </c>
      <c r="CX235" s="422"/>
      <c r="CY235" s="475"/>
      <c r="CZ235" s="450"/>
      <c r="DA235" s="394"/>
      <c r="DB235" s="394"/>
      <c r="DC235" s="347"/>
      <c r="DD235" s="394"/>
      <c r="DE235" s="394"/>
      <c r="DF235" s="394"/>
      <c r="DG235" s="394"/>
      <c r="DH235" s="394"/>
    </row>
    <row r="236" spans="1:112" x14ac:dyDescent="0.25">
      <c r="A236" s="179">
        <v>748</v>
      </c>
      <c r="B236" s="181" t="s">
        <v>261</v>
      </c>
      <c r="C236" s="373">
        <v>5145</v>
      </c>
      <c r="D236" s="360">
        <v>22</v>
      </c>
      <c r="E236" s="213"/>
      <c r="G236" s="363">
        <v>3027</v>
      </c>
      <c r="H236" s="363">
        <v>35599</v>
      </c>
      <c r="I236" s="349"/>
      <c r="J236" s="363">
        <v>14995</v>
      </c>
      <c r="K236" s="363">
        <v>938</v>
      </c>
      <c r="L236" s="363">
        <v>1411</v>
      </c>
      <c r="M236" s="363">
        <v>17344</v>
      </c>
      <c r="N236" s="363">
        <v>17753</v>
      </c>
      <c r="O236" s="363">
        <v>44</v>
      </c>
      <c r="P236" s="363">
        <v>93</v>
      </c>
      <c r="Q236" s="363">
        <v>122</v>
      </c>
      <c r="R236" s="363">
        <v>20</v>
      </c>
      <c r="S236" s="363">
        <v>2578</v>
      </c>
      <c r="U236" s="363">
        <v>1289</v>
      </c>
      <c r="V236" s="363">
        <v>0</v>
      </c>
      <c r="W236" s="363">
        <v>0</v>
      </c>
      <c r="X236" s="363">
        <v>1289</v>
      </c>
      <c r="Y236" s="363">
        <v>0</v>
      </c>
      <c r="Z236" s="363">
        <v>57</v>
      </c>
      <c r="AA236" s="363">
        <v>0</v>
      </c>
      <c r="AB236" s="363">
        <v>1346</v>
      </c>
      <c r="AD236" s="363">
        <v>6965</v>
      </c>
      <c r="AG236" s="363">
        <v>-1132</v>
      </c>
      <c r="AH236" s="349"/>
      <c r="AJ236" s="363">
        <v>3874</v>
      </c>
      <c r="AL236" s="363">
        <v>13301</v>
      </c>
      <c r="AN236" s="349"/>
      <c r="AO236" s="454">
        <v>5034</v>
      </c>
      <c r="AP236" s="478">
        <v>22</v>
      </c>
      <c r="AQ236" s="213"/>
      <c r="AS236" s="509">
        <v>3158</v>
      </c>
      <c r="AT236" s="349">
        <v>36002</v>
      </c>
      <c r="AU236" s="480">
        <v>-32844</v>
      </c>
      <c r="AV236" s="199">
        <v>14966</v>
      </c>
      <c r="AW236" s="199">
        <v>1112</v>
      </c>
      <c r="AX236" s="199">
        <v>1292</v>
      </c>
      <c r="AY236" s="199">
        <v>17370</v>
      </c>
      <c r="AZ236" s="199">
        <v>19759</v>
      </c>
      <c r="BA236" s="181">
        <v>30</v>
      </c>
      <c r="BB236" s="511">
        <v>77</v>
      </c>
      <c r="BC236" s="181">
        <v>80</v>
      </c>
      <c r="BD236" s="181">
        <v>81</v>
      </c>
      <c r="BE236" s="199">
        <v>4237</v>
      </c>
      <c r="BG236" s="183">
        <v>1860</v>
      </c>
      <c r="BH236" s="183">
        <v>0</v>
      </c>
      <c r="BI236" s="183">
        <v>0</v>
      </c>
      <c r="BJ236" s="199">
        <v>2377</v>
      </c>
      <c r="BK236" s="199">
        <v>0</v>
      </c>
      <c r="BL236" s="183">
        <v>57</v>
      </c>
      <c r="BM236" s="183">
        <v>-1200</v>
      </c>
      <c r="BN236" s="199">
        <v>1234</v>
      </c>
      <c r="BP236" s="199">
        <v>8200</v>
      </c>
      <c r="BS236" s="211"/>
      <c r="BV236" s="514">
        <v>7132</v>
      </c>
      <c r="BX236" s="181">
        <v>11478</v>
      </c>
      <c r="BZ236" s="349"/>
      <c r="CB236" s="340"/>
      <c r="CC236" s="488">
        <v>22</v>
      </c>
      <c r="CD236" s="378"/>
      <c r="CE236" s="378"/>
      <c r="CF236" s="195"/>
      <c r="CG236" s="349"/>
      <c r="CI236" s="181">
        <v>16644</v>
      </c>
      <c r="CJ236" s="183">
        <v>0</v>
      </c>
      <c r="CK236" s="421">
        <v>18811.784638139696</v>
      </c>
      <c r="CL236" s="494">
        <v>19433.930671960363</v>
      </c>
      <c r="CM236" s="483">
        <v>7894.0151942767125</v>
      </c>
      <c r="CN236" s="483">
        <v>8008.9118346334899</v>
      </c>
      <c r="CO236" s="483">
        <v>8249.159504097428</v>
      </c>
      <c r="CP236" s="433">
        <f t="shared" si="3"/>
        <v>-1058.7846381396957</v>
      </c>
      <c r="CQ236" s="212"/>
      <c r="CR236" s="212">
        <v>-48</v>
      </c>
      <c r="CS236" s="212">
        <v>-314</v>
      </c>
      <c r="CT236" s="183">
        <v>0</v>
      </c>
      <c r="CU236" s="183">
        <v>32</v>
      </c>
      <c r="CV236" s="485">
        <v>257</v>
      </c>
      <c r="CX236" s="422"/>
      <c r="CY236" s="475"/>
      <c r="CZ236" s="450"/>
      <c r="DA236" s="394"/>
      <c r="DB236" s="394"/>
      <c r="DC236" s="347"/>
      <c r="DD236" s="394"/>
      <c r="DE236" s="394"/>
      <c r="DF236" s="394"/>
      <c r="DG236" s="394"/>
      <c r="DH236" s="394"/>
    </row>
    <row r="237" spans="1:112" x14ac:dyDescent="0.25">
      <c r="A237" s="179">
        <v>791</v>
      </c>
      <c r="B237" s="181" t="s">
        <v>364</v>
      </c>
      <c r="C237" s="373">
        <v>5231</v>
      </c>
      <c r="D237" s="360">
        <v>22</v>
      </c>
      <c r="E237" s="213"/>
      <c r="G237" s="363">
        <v>6421</v>
      </c>
      <c r="H237" s="363">
        <v>44503</v>
      </c>
      <c r="I237" s="349"/>
      <c r="J237" s="363">
        <v>13739</v>
      </c>
      <c r="K237" s="363">
        <v>1159</v>
      </c>
      <c r="L237" s="363">
        <v>1386</v>
      </c>
      <c r="M237" s="363">
        <v>16284</v>
      </c>
      <c r="N237" s="363">
        <v>22504</v>
      </c>
      <c r="O237" s="363">
        <v>73</v>
      </c>
      <c r="P237" s="363">
        <v>19</v>
      </c>
      <c r="Q237" s="363">
        <v>48</v>
      </c>
      <c r="R237" s="363">
        <v>16</v>
      </c>
      <c r="S237" s="363">
        <v>792</v>
      </c>
      <c r="U237" s="363">
        <v>1212</v>
      </c>
      <c r="V237" s="363">
        <v>0</v>
      </c>
      <c r="W237" s="363">
        <v>0</v>
      </c>
      <c r="X237" s="363">
        <v>-420</v>
      </c>
      <c r="Y237" s="363">
        <v>100</v>
      </c>
      <c r="Z237" s="363">
        <v>0</v>
      </c>
      <c r="AA237" s="363">
        <v>0</v>
      </c>
      <c r="AB237" s="363">
        <v>-320</v>
      </c>
      <c r="AD237" s="363">
        <v>809</v>
      </c>
      <c r="AG237" s="363">
        <v>-634</v>
      </c>
      <c r="AH237" s="349"/>
      <c r="AJ237" s="363">
        <v>969</v>
      </c>
      <c r="AL237" s="363">
        <v>16226</v>
      </c>
      <c r="AN237" s="349"/>
      <c r="AO237" s="454">
        <v>5203</v>
      </c>
      <c r="AP237" s="478">
        <v>22</v>
      </c>
      <c r="AQ237" s="213"/>
      <c r="AS237" s="509">
        <v>6305</v>
      </c>
      <c r="AT237" s="349">
        <v>45312</v>
      </c>
      <c r="AU237" s="480">
        <v>-39007</v>
      </c>
      <c r="AV237" s="199">
        <v>13932</v>
      </c>
      <c r="AW237" s="199">
        <v>1400</v>
      </c>
      <c r="AX237" s="199">
        <v>1250</v>
      </c>
      <c r="AY237" s="199">
        <v>16582</v>
      </c>
      <c r="AZ237" s="199">
        <v>24591</v>
      </c>
      <c r="BA237" s="181">
        <v>40</v>
      </c>
      <c r="BB237" s="511">
        <v>40</v>
      </c>
      <c r="BC237" s="181">
        <v>47</v>
      </c>
      <c r="BD237" s="181">
        <v>1862</v>
      </c>
      <c r="BE237" s="199">
        <v>351</v>
      </c>
      <c r="BG237" s="183">
        <v>2529</v>
      </c>
      <c r="BH237" s="183">
        <v>0</v>
      </c>
      <c r="BI237" s="183">
        <v>0</v>
      </c>
      <c r="BJ237" s="199">
        <v>-2178</v>
      </c>
      <c r="BK237" s="199">
        <v>82</v>
      </c>
      <c r="BL237" s="183">
        <v>0</v>
      </c>
      <c r="BM237" s="199">
        <v>0</v>
      </c>
      <c r="BN237" s="199">
        <v>-2096</v>
      </c>
      <c r="BP237" s="199">
        <v>-1286</v>
      </c>
      <c r="BS237" s="211"/>
      <c r="BV237" s="514">
        <v>2410</v>
      </c>
      <c r="BX237" s="181">
        <v>17971</v>
      </c>
      <c r="BZ237" s="349"/>
      <c r="CB237" s="340"/>
      <c r="CC237" s="488">
        <v>22</v>
      </c>
      <c r="CD237" s="378"/>
      <c r="CE237" s="378"/>
      <c r="CF237" s="195"/>
      <c r="CG237" s="349"/>
      <c r="CH237" s="347"/>
      <c r="CI237" s="181">
        <v>19779</v>
      </c>
      <c r="CJ237" s="183">
        <v>0</v>
      </c>
      <c r="CK237" s="421">
        <v>23315.425528116226</v>
      </c>
      <c r="CL237" s="494">
        <v>24365.967115577234</v>
      </c>
      <c r="CM237" s="483">
        <v>7123.7942633814127</v>
      </c>
      <c r="CN237" s="483">
        <v>6534.3814985802692</v>
      </c>
      <c r="CO237" s="483">
        <v>6348.5182531671717</v>
      </c>
      <c r="CP237" s="433">
        <f t="shared" si="3"/>
        <v>-811.42552811622591</v>
      </c>
      <c r="CQ237" s="212"/>
      <c r="CR237" s="212">
        <v>-29</v>
      </c>
      <c r="CS237" s="212">
        <v>-2037</v>
      </c>
      <c r="CT237" s="183">
        <v>70</v>
      </c>
      <c r="CU237" s="183">
        <v>169</v>
      </c>
      <c r="CV237" s="485">
        <v>142</v>
      </c>
      <c r="CX237" s="422"/>
      <c r="CY237" s="475"/>
      <c r="CZ237" s="450"/>
      <c r="DA237" s="394"/>
      <c r="DB237" s="394"/>
      <c r="DC237" s="347"/>
      <c r="DD237" s="394"/>
      <c r="DE237" s="394"/>
      <c r="DF237" s="394"/>
      <c r="DG237" s="394"/>
      <c r="DH237" s="394"/>
    </row>
    <row r="238" spans="1:112" x14ac:dyDescent="0.25">
      <c r="A238" s="179">
        <v>749</v>
      </c>
      <c r="B238" s="181" t="s">
        <v>262</v>
      </c>
      <c r="C238" s="373">
        <v>21423</v>
      </c>
      <c r="D238" s="360">
        <v>21.25</v>
      </c>
      <c r="E238" s="213"/>
      <c r="G238" s="363">
        <v>22684</v>
      </c>
      <c r="H238" s="363">
        <v>143705</v>
      </c>
      <c r="I238" s="349"/>
      <c r="J238" s="363">
        <v>76285</v>
      </c>
      <c r="K238" s="363">
        <v>3767</v>
      </c>
      <c r="L238" s="363">
        <v>5184</v>
      </c>
      <c r="M238" s="363">
        <v>85236</v>
      </c>
      <c r="N238" s="363">
        <v>33295</v>
      </c>
      <c r="O238" s="363">
        <v>24</v>
      </c>
      <c r="P238" s="363">
        <v>600</v>
      </c>
      <c r="Q238" s="363">
        <v>725</v>
      </c>
      <c r="R238" s="363">
        <v>7</v>
      </c>
      <c r="S238" s="363">
        <v>-2348</v>
      </c>
      <c r="U238" s="363">
        <v>7420</v>
      </c>
      <c r="V238" s="363">
        <v>12996</v>
      </c>
      <c r="W238" s="363">
        <v>0</v>
      </c>
      <c r="X238" s="363">
        <v>3228</v>
      </c>
      <c r="Y238" s="363">
        <v>0</v>
      </c>
      <c r="Z238" s="363">
        <v>0</v>
      </c>
      <c r="AA238" s="363">
        <v>26</v>
      </c>
      <c r="AB238" s="363">
        <v>3254</v>
      </c>
      <c r="AD238" s="363">
        <v>4976</v>
      </c>
      <c r="AG238" s="363">
        <v>9434</v>
      </c>
      <c r="AH238" s="349"/>
      <c r="AJ238" s="363">
        <v>6010</v>
      </c>
      <c r="AL238" s="363">
        <v>78282</v>
      </c>
      <c r="AN238" s="349"/>
      <c r="AO238" s="454">
        <v>21251</v>
      </c>
      <c r="AP238" s="478">
        <v>22</v>
      </c>
      <c r="AQ238" s="213"/>
      <c r="AS238" s="509">
        <v>19683</v>
      </c>
      <c r="AT238" s="349">
        <v>146506</v>
      </c>
      <c r="AU238" s="480">
        <v>-126823</v>
      </c>
      <c r="AV238" s="199">
        <v>81672</v>
      </c>
      <c r="AW238" s="199">
        <v>4913</v>
      </c>
      <c r="AX238" s="199">
        <v>5016</v>
      </c>
      <c r="AY238" s="199">
        <v>91601</v>
      </c>
      <c r="AZ238" s="199">
        <v>43892</v>
      </c>
      <c r="BA238" s="181">
        <v>775</v>
      </c>
      <c r="BB238" s="511">
        <v>541</v>
      </c>
      <c r="BC238" s="181">
        <v>610</v>
      </c>
      <c r="BD238" s="181">
        <v>2</v>
      </c>
      <c r="BE238" s="199">
        <v>9512</v>
      </c>
      <c r="BG238" s="183">
        <v>9038</v>
      </c>
      <c r="BH238" s="183">
        <v>0</v>
      </c>
      <c r="BI238" s="183">
        <v>0</v>
      </c>
      <c r="BJ238" s="199">
        <v>474</v>
      </c>
      <c r="BK238" s="183">
        <v>0</v>
      </c>
      <c r="BL238" s="183">
        <v>0</v>
      </c>
      <c r="BM238" s="183">
        <v>36</v>
      </c>
      <c r="BN238" s="199">
        <v>510</v>
      </c>
      <c r="BP238" s="199">
        <v>5485</v>
      </c>
      <c r="BS238" s="211"/>
      <c r="BV238" s="514">
        <v>16638</v>
      </c>
      <c r="BX238" s="181">
        <v>80950</v>
      </c>
      <c r="BZ238" s="349"/>
      <c r="CB238" s="340"/>
      <c r="CC238" s="488">
        <v>22</v>
      </c>
      <c r="CD238" s="378"/>
      <c r="CE238" s="378"/>
      <c r="CF238" s="195"/>
      <c r="CG238" s="349"/>
      <c r="CI238" s="181">
        <v>26801</v>
      </c>
      <c r="CJ238" s="183">
        <v>0</v>
      </c>
      <c r="CK238" s="421">
        <v>40843.701973047137</v>
      </c>
      <c r="CL238" s="494">
        <v>43974.196737655613</v>
      </c>
      <c r="CM238" s="483">
        <v>6533.7453723244234</v>
      </c>
      <c r="CN238" s="483">
        <v>8136.9288428067757</v>
      </c>
      <c r="CO238" s="483">
        <v>8666.8242420254883</v>
      </c>
      <c r="CP238" s="433">
        <f t="shared" si="3"/>
        <v>-7548.7019730471366</v>
      </c>
      <c r="CQ238" s="212"/>
      <c r="CR238" s="212">
        <v>-869</v>
      </c>
      <c r="CS238" s="212">
        <v>-4173</v>
      </c>
      <c r="CT238" s="183">
        <v>0</v>
      </c>
      <c r="CU238" s="183">
        <v>3564</v>
      </c>
      <c r="CV238" s="485">
        <v>212</v>
      </c>
      <c r="CX238" s="422"/>
      <c r="CY238" s="475"/>
      <c r="CZ238" s="450"/>
      <c r="DA238" s="394"/>
      <c r="DB238" s="394"/>
      <c r="DC238" s="347"/>
      <c r="DD238" s="394"/>
      <c r="DE238" s="394"/>
      <c r="DF238" s="394"/>
      <c r="DG238" s="394"/>
      <c r="DH238" s="394"/>
    </row>
    <row r="239" spans="1:112" x14ac:dyDescent="0.25">
      <c r="A239" s="179">
        <v>751</v>
      </c>
      <c r="B239" s="181" t="s">
        <v>263</v>
      </c>
      <c r="C239" s="373">
        <v>2988</v>
      </c>
      <c r="D239" s="360">
        <v>22</v>
      </c>
      <c r="E239" s="213"/>
      <c r="G239" s="363">
        <v>2070</v>
      </c>
      <c r="H239" s="363">
        <v>23229</v>
      </c>
      <c r="I239" s="349"/>
      <c r="J239" s="363">
        <v>10338</v>
      </c>
      <c r="K239" s="363">
        <v>347</v>
      </c>
      <c r="L239" s="363">
        <v>1653</v>
      </c>
      <c r="M239" s="363">
        <v>12338</v>
      </c>
      <c r="N239" s="363">
        <v>8128</v>
      </c>
      <c r="O239" s="363">
        <v>0</v>
      </c>
      <c r="P239" s="363">
        <v>64</v>
      </c>
      <c r="Q239" s="363">
        <v>19</v>
      </c>
      <c r="R239" s="363">
        <v>0</v>
      </c>
      <c r="S239" s="363">
        <v>-738</v>
      </c>
      <c r="U239" s="363">
        <v>914</v>
      </c>
      <c r="V239" s="363">
        <v>0</v>
      </c>
      <c r="W239" s="363">
        <v>0</v>
      </c>
      <c r="X239" s="363">
        <v>-1652</v>
      </c>
      <c r="Y239" s="363">
        <v>0</v>
      </c>
      <c r="Z239" s="363">
        <v>-2</v>
      </c>
      <c r="AA239" s="363">
        <v>0</v>
      </c>
      <c r="AB239" s="363">
        <v>-1654</v>
      </c>
      <c r="AD239" s="363">
        <v>650</v>
      </c>
      <c r="AG239" s="363">
        <v>-1173</v>
      </c>
      <c r="AH239" s="349"/>
      <c r="AJ239" s="363">
        <v>339</v>
      </c>
      <c r="AL239" s="363">
        <v>4750</v>
      </c>
      <c r="AN239" s="349"/>
      <c r="AO239" s="454">
        <v>2950</v>
      </c>
      <c r="AP239" s="478">
        <v>22</v>
      </c>
      <c r="AQ239" s="213"/>
      <c r="AS239" s="509">
        <v>2105</v>
      </c>
      <c r="AT239" s="349">
        <v>21870</v>
      </c>
      <c r="AU239" s="480">
        <v>-19765</v>
      </c>
      <c r="AV239" s="199">
        <v>10410</v>
      </c>
      <c r="AW239" s="199">
        <v>336</v>
      </c>
      <c r="AX239" s="199">
        <v>1448</v>
      </c>
      <c r="AY239" s="199">
        <v>12194</v>
      </c>
      <c r="AZ239" s="199">
        <v>10014</v>
      </c>
      <c r="BA239" s="181">
        <v>0</v>
      </c>
      <c r="BB239" s="511">
        <v>57</v>
      </c>
      <c r="BC239" s="181">
        <v>1</v>
      </c>
      <c r="BD239" s="181">
        <v>2</v>
      </c>
      <c r="BE239" s="199">
        <v>2385</v>
      </c>
      <c r="BG239" s="183">
        <v>932</v>
      </c>
      <c r="BH239" s="183">
        <v>0</v>
      </c>
      <c r="BI239" s="183">
        <v>0</v>
      </c>
      <c r="BJ239" s="199">
        <v>1453</v>
      </c>
      <c r="BK239" s="183">
        <v>0</v>
      </c>
      <c r="BL239" s="183">
        <v>0</v>
      </c>
      <c r="BM239" s="183">
        <v>0</v>
      </c>
      <c r="BN239" s="199">
        <v>1453</v>
      </c>
      <c r="BP239" s="199">
        <v>2102</v>
      </c>
      <c r="BS239" s="211"/>
      <c r="BV239" s="514">
        <v>1010</v>
      </c>
      <c r="BX239" s="181">
        <v>4832</v>
      </c>
      <c r="BZ239" s="349"/>
      <c r="CB239" s="340"/>
      <c r="CC239" s="488">
        <v>22</v>
      </c>
      <c r="CD239" s="378"/>
      <c r="CE239" s="378"/>
      <c r="CF239" s="195"/>
      <c r="CG239" s="349"/>
      <c r="CI239" s="181">
        <v>8720</v>
      </c>
      <c r="CJ239" s="183">
        <v>0</v>
      </c>
      <c r="CK239" s="421">
        <v>9420.4454283533178</v>
      </c>
      <c r="CL239" s="494">
        <v>9845.3433772562639</v>
      </c>
      <c r="CM239" s="483">
        <v>2306.9354422696288</v>
      </c>
      <c r="CN239" s="483">
        <v>2064.6652501716017</v>
      </c>
      <c r="CO239" s="483">
        <v>2027.418741655586</v>
      </c>
      <c r="CP239" s="433">
        <f t="shared" si="3"/>
        <v>-1292.4454283533178</v>
      </c>
      <c r="CQ239" s="212"/>
      <c r="CR239" s="212">
        <v>-53</v>
      </c>
      <c r="CS239" s="212">
        <v>-754</v>
      </c>
      <c r="CT239" s="183">
        <v>30</v>
      </c>
      <c r="CU239" s="183">
        <v>92</v>
      </c>
      <c r="CV239" s="485">
        <v>0</v>
      </c>
      <c r="CX239" s="422"/>
      <c r="CY239" s="475"/>
      <c r="CZ239" s="450"/>
      <c r="DA239" s="394"/>
      <c r="DB239" s="394"/>
      <c r="DC239" s="347"/>
      <c r="DD239" s="394"/>
      <c r="DE239" s="394"/>
      <c r="DF239" s="394"/>
      <c r="DG239" s="394"/>
      <c r="DH239" s="394"/>
    </row>
    <row r="240" spans="1:112" x14ac:dyDescent="0.25">
      <c r="A240" s="179">
        <v>753</v>
      </c>
      <c r="B240" s="181" t="s">
        <v>264</v>
      </c>
      <c r="C240" s="373">
        <v>21170</v>
      </c>
      <c r="D240" s="360">
        <v>19.25</v>
      </c>
      <c r="E240" s="213"/>
      <c r="G240" s="363">
        <v>25704</v>
      </c>
      <c r="H240" s="363">
        <v>138415</v>
      </c>
      <c r="I240" s="349"/>
      <c r="J240" s="363">
        <v>88839</v>
      </c>
      <c r="K240" s="363">
        <v>4366</v>
      </c>
      <c r="L240" s="363">
        <v>10016</v>
      </c>
      <c r="M240" s="363">
        <v>103221</v>
      </c>
      <c r="N240" s="363">
        <v>15114</v>
      </c>
      <c r="O240" s="363">
        <v>48</v>
      </c>
      <c r="P240" s="363">
        <v>463</v>
      </c>
      <c r="Q240" s="363">
        <v>198</v>
      </c>
      <c r="R240" s="363">
        <v>12</v>
      </c>
      <c r="S240" s="363">
        <v>5395</v>
      </c>
      <c r="U240" s="363">
        <v>13969</v>
      </c>
      <c r="V240" s="363">
        <v>9573</v>
      </c>
      <c r="W240" s="363">
        <v>1065</v>
      </c>
      <c r="X240" s="363">
        <v>-66</v>
      </c>
      <c r="Y240" s="363">
        <v>899</v>
      </c>
      <c r="Z240" s="363">
        <v>257</v>
      </c>
      <c r="AA240" s="363">
        <v>0</v>
      </c>
      <c r="AB240" s="363">
        <v>1090</v>
      </c>
      <c r="AD240" s="363">
        <v>17057</v>
      </c>
      <c r="AG240" s="363">
        <v>-31377</v>
      </c>
      <c r="AH240" s="349"/>
      <c r="AJ240" s="363">
        <v>12803</v>
      </c>
      <c r="AL240" s="363">
        <v>105729</v>
      </c>
      <c r="AN240" s="349"/>
      <c r="AO240" s="454">
        <v>21687</v>
      </c>
      <c r="AP240" s="478">
        <v>19.25</v>
      </c>
      <c r="AQ240" s="213"/>
      <c r="AS240" s="509">
        <v>25007</v>
      </c>
      <c r="AT240" s="349">
        <v>139313</v>
      </c>
      <c r="AU240" s="480">
        <v>-114306</v>
      </c>
      <c r="AV240" s="199">
        <v>92585</v>
      </c>
      <c r="AW240" s="199">
        <v>5349</v>
      </c>
      <c r="AX240" s="199">
        <v>9110</v>
      </c>
      <c r="AY240" s="199">
        <v>107044</v>
      </c>
      <c r="AZ240" s="199">
        <v>23569</v>
      </c>
      <c r="BA240" s="181">
        <v>79</v>
      </c>
      <c r="BB240" s="511">
        <v>470</v>
      </c>
      <c r="BC240" s="181">
        <v>213</v>
      </c>
      <c r="BD240" s="181">
        <v>25</v>
      </c>
      <c r="BE240" s="199">
        <v>16104</v>
      </c>
      <c r="BG240" s="183">
        <v>14797</v>
      </c>
      <c r="BH240" s="183">
        <v>0</v>
      </c>
      <c r="BI240" s="183">
        <v>0</v>
      </c>
      <c r="BJ240" s="199">
        <v>1307</v>
      </c>
      <c r="BK240" s="183">
        <v>-11277</v>
      </c>
      <c r="BL240" s="183">
        <v>12700</v>
      </c>
      <c r="BM240" s="199">
        <v>0</v>
      </c>
      <c r="BN240" s="199">
        <v>2730</v>
      </c>
      <c r="BP240" s="199">
        <v>19787</v>
      </c>
      <c r="BS240" s="211"/>
      <c r="BV240" s="514">
        <v>5916</v>
      </c>
      <c r="BX240" s="181">
        <v>109374</v>
      </c>
      <c r="BZ240" s="349"/>
      <c r="CB240" s="340"/>
      <c r="CC240" s="488">
        <v>19.25</v>
      </c>
      <c r="CD240" s="378"/>
      <c r="CE240" s="378"/>
      <c r="CF240" s="195"/>
      <c r="CG240" s="349"/>
      <c r="CI240" s="181">
        <v>15429</v>
      </c>
      <c r="CJ240" s="183">
        <v>0</v>
      </c>
      <c r="CK240" s="421">
        <v>17605.937015845077</v>
      </c>
      <c r="CL240" s="494">
        <v>18977.437859251746</v>
      </c>
      <c r="CM240" s="483">
        <v>13907.212694938931</v>
      </c>
      <c r="CN240" s="483">
        <v>13971.306937904184</v>
      </c>
      <c r="CO240" s="483">
        <v>13925.846710988859</v>
      </c>
      <c r="CP240" s="433">
        <f t="shared" si="3"/>
        <v>-2491.9370158450765</v>
      </c>
      <c r="CQ240" s="212"/>
      <c r="CR240" s="212">
        <v>-5274</v>
      </c>
      <c r="CS240" s="212">
        <v>-26581</v>
      </c>
      <c r="CT240" s="183">
        <v>455</v>
      </c>
      <c r="CU240" s="183">
        <v>6294</v>
      </c>
      <c r="CV240" s="485">
        <v>0</v>
      </c>
      <c r="CX240" s="422"/>
      <c r="CY240" s="475"/>
      <c r="CZ240" s="450"/>
      <c r="DA240" s="394"/>
      <c r="DB240" s="394"/>
      <c r="DC240" s="347"/>
      <c r="DD240" s="394"/>
      <c r="DE240" s="394"/>
      <c r="DF240" s="394"/>
      <c r="DG240" s="394"/>
      <c r="DH240" s="394"/>
    </row>
    <row r="241" spans="1:112" x14ac:dyDescent="0.25">
      <c r="A241" s="179">
        <v>755</v>
      </c>
      <c r="B241" s="181" t="s">
        <v>265</v>
      </c>
      <c r="C241" s="373">
        <v>6145</v>
      </c>
      <c r="D241" s="360">
        <v>21.5</v>
      </c>
      <c r="E241" s="213"/>
      <c r="G241" s="363">
        <v>7843</v>
      </c>
      <c r="H241" s="363">
        <v>41271</v>
      </c>
      <c r="I241" s="349"/>
      <c r="J241" s="363">
        <v>26773</v>
      </c>
      <c r="K241" s="363">
        <v>631</v>
      </c>
      <c r="L241" s="363">
        <v>2235</v>
      </c>
      <c r="M241" s="363">
        <v>29639</v>
      </c>
      <c r="N241" s="363">
        <v>4808</v>
      </c>
      <c r="O241" s="363">
        <v>13</v>
      </c>
      <c r="P241" s="363">
        <v>252</v>
      </c>
      <c r="Q241" s="363">
        <v>27</v>
      </c>
      <c r="R241" s="363">
        <v>21</v>
      </c>
      <c r="S241" s="363">
        <v>786</v>
      </c>
      <c r="U241" s="363">
        <v>2268</v>
      </c>
      <c r="V241" s="363">
        <v>0</v>
      </c>
      <c r="W241" s="363">
        <v>0</v>
      </c>
      <c r="X241" s="363">
        <v>-1482</v>
      </c>
      <c r="Y241" s="363">
        <v>0</v>
      </c>
      <c r="Z241" s="363">
        <v>0</v>
      </c>
      <c r="AA241" s="363">
        <v>0</v>
      </c>
      <c r="AB241" s="363">
        <v>-1482</v>
      </c>
      <c r="AD241" s="363">
        <v>1341</v>
      </c>
      <c r="AG241" s="363">
        <v>-2331</v>
      </c>
      <c r="AH241" s="349"/>
      <c r="AJ241" s="363">
        <v>402</v>
      </c>
      <c r="AL241" s="363">
        <v>22280</v>
      </c>
      <c r="AN241" s="349"/>
      <c r="AO241" s="454">
        <v>6149</v>
      </c>
      <c r="AP241" s="478">
        <v>21.5</v>
      </c>
      <c r="AQ241" s="213"/>
      <c r="AS241" s="509">
        <v>7829</v>
      </c>
      <c r="AT241" s="349">
        <v>41345</v>
      </c>
      <c r="AU241" s="480">
        <v>-33516</v>
      </c>
      <c r="AV241" s="199">
        <v>27534</v>
      </c>
      <c r="AW241" s="199">
        <v>691</v>
      </c>
      <c r="AX241" s="199">
        <v>2049</v>
      </c>
      <c r="AY241" s="199">
        <v>30274</v>
      </c>
      <c r="AZ241" s="199">
        <v>7194</v>
      </c>
      <c r="BA241" s="181">
        <v>14</v>
      </c>
      <c r="BB241" s="511">
        <v>206</v>
      </c>
      <c r="BC241" s="181">
        <v>78</v>
      </c>
      <c r="BD241" s="181">
        <v>60</v>
      </c>
      <c r="BE241" s="199">
        <v>3778</v>
      </c>
      <c r="BG241" s="183">
        <v>1896</v>
      </c>
      <c r="BH241" s="183">
        <v>0</v>
      </c>
      <c r="BI241" s="183">
        <v>0</v>
      </c>
      <c r="BJ241" s="199">
        <v>1882</v>
      </c>
      <c r="BK241" s="183">
        <v>0</v>
      </c>
      <c r="BL241" s="183">
        <v>0</v>
      </c>
      <c r="BM241" s="183">
        <v>0</v>
      </c>
      <c r="BN241" s="199">
        <v>1882</v>
      </c>
      <c r="BP241" s="199">
        <v>3222</v>
      </c>
      <c r="BS241" s="211"/>
      <c r="BV241" s="514">
        <v>392</v>
      </c>
      <c r="BX241" s="181">
        <v>22010</v>
      </c>
      <c r="BZ241" s="349"/>
      <c r="CB241" s="340"/>
      <c r="CC241" s="488">
        <v>21.5</v>
      </c>
      <c r="CD241" s="378"/>
      <c r="CE241" s="378"/>
      <c r="CF241" s="195"/>
      <c r="CG241" s="349"/>
      <c r="CI241" s="181">
        <v>5172</v>
      </c>
      <c r="CJ241" s="183">
        <v>0</v>
      </c>
      <c r="CK241" s="421">
        <v>5696.9938902458935</v>
      </c>
      <c r="CL241" s="494">
        <v>5876.4072362417264</v>
      </c>
      <c r="CM241" s="483">
        <v>4465.9660797084252</v>
      </c>
      <c r="CN241" s="483">
        <v>4145.1912454859839</v>
      </c>
      <c r="CO241" s="483">
        <v>3972.3899419821773</v>
      </c>
      <c r="CP241" s="433">
        <f t="shared" si="3"/>
        <v>-888.99389024589345</v>
      </c>
      <c r="CQ241" s="212"/>
      <c r="CR241" s="212">
        <v>-481</v>
      </c>
      <c r="CS241" s="212">
        <v>-3902</v>
      </c>
      <c r="CT241" s="183">
        <v>42</v>
      </c>
      <c r="CU241" s="183">
        <v>915</v>
      </c>
      <c r="CV241" s="485">
        <v>0</v>
      </c>
      <c r="CX241" s="422"/>
      <c r="CY241" s="475"/>
      <c r="CZ241" s="450"/>
      <c r="DA241" s="394"/>
      <c r="DB241" s="394"/>
      <c r="DC241" s="347"/>
      <c r="DD241" s="394"/>
      <c r="DE241" s="394"/>
      <c r="DF241" s="394"/>
      <c r="DG241" s="394"/>
      <c r="DH241" s="394"/>
    </row>
    <row r="242" spans="1:112" x14ac:dyDescent="0.25">
      <c r="A242" s="179">
        <v>758</v>
      </c>
      <c r="B242" s="181" t="s">
        <v>266</v>
      </c>
      <c r="C242" s="373">
        <v>8303</v>
      </c>
      <c r="D242" s="360">
        <v>20</v>
      </c>
      <c r="E242" s="213"/>
      <c r="G242" s="363">
        <v>10460</v>
      </c>
      <c r="H242" s="363">
        <v>73956</v>
      </c>
      <c r="I242" s="349"/>
      <c r="J242" s="363">
        <v>26692</v>
      </c>
      <c r="K242" s="363">
        <v>2681</v>
      </c>
      <c r="L242" s="363">
        <v>7915</v>
      </c>
      <c r="M242" s="363">
        <v>37288</v>
      </c>
      <c r="N242" s="363">
        <v>25302</v>
      </c>
      <c r="O242" s="363">
        <v>211</v>
      </c>
      <c r="P242" s="363">
        <v>356</v>
      </c>
      <c r="Q242" s="363">
        <v>1266</v>
      </c>
      <c r="R242" s="363">
        <v>8</v>
      </c>
      <c r="S242" s="363">
        <v>207</v>
      </c>
      <c r="U242" s="363">
        <v>4377</v>
      </c>
      <c r="V242" s="363">
        <v>0</v>
      </c>
      <c r="W242" s="363">
        <v>0</v>
      </c>
      <c r="X242" s="363">
        <v>-4170</v>
      </c>
      <c r="Y242" s="363">
        <v>44</v>
      </c>
      <c r="Z242" s="363">
        <v>1000</v>
      </c>
      <c r="AA242" s="363">
        <v>75</v>
      </c>
      <c r="AB242" s="363">
        <v>-3051</v>
      </c>
      <c r="AD242" s="363">
        <v>-1895</v>
      </c>
      <c r="AG242" s="363">
        <v>-2457</v>
      </c>
      <c r="AH242" s="349"/>
      <c r="AJ242" s="363">
        <v>4716</v>
      </c>
      <c r="AL242" s="363">
        <v>33706</v>
      </c>
      <c r="AN242" s="349"/>
      <c r="AO242" s="454">
        <v>8266</v>
      </c>
      <c r="AP242" s="478">
        <v>21</v>
      </c>
      <c r="AQ242" s="213"/>
      <c r="AS242" s="509">
        <v>10399</v>
      </c>
      <c r="AT242" s="349">
        <v>73322</v>
      </c>
      <c r="AU242" s="480">
        <v>-62923</v>
      </c>
      <c r="AV242" s="199">
        <v>29619</v>
      </c>
      <c r="AW242" s="199">
        <v>4250</v>
      </c>
      <c r="AX242" s="199">
        <v>7345</v>
      </c>
      <c r="AY242" s="199">
        <v>41214</v>
      </c>
      <c r="AZ242" s="199">
        <v>30408</v>
      </c>
      <c r="BA242" s="181">
        <v>220</v>
      </c>
      <c r="BB242" s="511">
        <v>343</v>
      </c>
      <c r="BC242" s="181">
        <v>1320</v>
      </c>
      <c r="BD242" s="181">
        <v>4</v>
      </c>
      <c r="BE242" s="199">
        <v>9892</v>
      </c>
      <c r="BG242" s="183">
        <v>3897</v>
      </c>
      <c r="BH242" s="183">
        <v>0</v>
      </c>
      <c r="BI242" s="183">
        <v>0</v>
      </c>
      <c r="BJ242" s="199">
        <v>5995</v>
      </c>
      <c r="BK242" s="183">
        <v>43</v>
      </c>
      <c r="BL242" s="199">
        <v>0</v>
      </c>
      <c r="BM242" s="183">
        <v>-1422</v>
      </c>
      <c r="BN242" s="199">
        <v>4616</v>
      </c>
      <c r="BP242" s="199">
        <v>2721</v>
      </c>
      <c r="BS242" s="211"/>
      <c r="BV242" s="514">
        <v>11778</v>
      </c>
      <c r="BX242" s="181">
        <v>32906</v>
      </c>
      <c r="BZ242" s="349"/>
      <c r="CB242" s="340"/>
      <c r="CC242" s="488">
        <v>21</v>
      </c>
      <c r="CD242" s="378"/>
      <c r="CE242" s="378"/>
      <c r="CF242" s="195"/>
      <c r="CG242" s="349"/>
      <c r="CI242" s="181">
        <v>23787</v>
      </c>
      <c r="CJ242" s="183">
        <v>0</v>
      </c>
      <c r="CK242" s="421">
        <v>26989.910366722153</v>
      </c>
      <c r="CL242" s="494">
        <v>25888.226345444706</v>
      </c>
      <c r="CM242" s="483">
        <v>12187.12984603563</v>
      </c>
      <c r="CN242" s="483">
        <v>12413.098943693107</v>
      </c>
      <c r="CO242" s="483">
        <v>12410.158962585399</v>
      </c>
      <c r="CP242" s="433">
        <f t="shared" si="3"/>
        <v>-1687.9103667221534</v>
      </c>
      <c r="CQ242" s="212"/>
      <c r="CR242" s="212">
        <v>-3</v>
      </c>
      <c r="CS242" s="212">
        <v>-3043</v>
      </c>
      <c r="CT242" s="183">
        <v>56</v>
      </c>
      <c r="CU242" s="183">
        <v>-182</v>
      </c>
      <c r="CV242" s="485">
        <v>240</v>
      </c>
      <c r="CX242" s="422"/>
      <c r="CY242" s="475"/>
      <c r="CZ242" s="450"/>
      <c r="DA242" s="394"/>
      <c r="DB242" s="394"/>
      <c r="DC242" s="347"/>
      <c r="DD242" s="394"/>
      <c r="DE242" s="394"/>
      <c r="DF242" s="394"/>
      <c r="DG242" s="394"/>
      <c r="DH242" s="394"/>
    </row>
    <row r="243" spans="1:112" x14ac:dyDescent="0.25">
      <c r="A243" s="179">
        <v>759</v>
      </c>
      <c r="B243" s="181" t="s">
        <v>267</v>
      </c>
      <c r="C243" s="373">
        <v>2052</v>
      </c>
      <c r="D243" s="360">
        <v>21.75</v>
      </c>
      <c r="E243" s="213"/>
      <c r="G243" s="363">
        <v>2351</v>
      </c>
      <c r="H243" s="363">
        <v>15793</v>
      </c>
      <c r="I243" s="349"/>
      <c r="J243" s="363">
        <v>4966</v>
      </c>
      <c r="K243" s="363">
        <v>604</v>
      </c>
      <c r="L243" s="363">
        <v>587</v>
      </c>
      <c r="M243" s="363">
        <v>6157</v>
      </c>
      <c r="N243" s="363">
        <v>7696</v>
      </c>
      <c r="O243" s="363">
        <v>7</v>
      </c>
      <c r="P243" s="363">
        <v>75</v>
      </c>
      <c r="Q243" s="363">
        <v>82</v>
      </c>
      <c r="R243" s="363">
        <v>1</v>
      </c>
      <c r="S243" s="363">
        <v>424</v>
      </c>
      <c r="U243" s="363">
        <v>490</v>
      </c>
      <c r="V243" s="363">
        <v>1929</v>
      </c>
      <c r="W243" s="363">
        <v>0</v>
      </c>
      <c r="X243" s="363">
        <v>1863</v>
      </c>
      <c r="Y243" s="363">
        <v>0</v>
      </c>
      <c r="Z243" s="363">
        <v>0</v>
      </c>
      <c r="AA243" s="363">
        <v>0</v>
      </c>
      <c r="AB243" s="363">
        <v>1863</v>
      </c>
      <c r="AD243" s="363">
        <v>4743</v>
      </c>
      <c r="AG243" s="363">
        <v>-184</v>
      </c>
      <c r="AH243" s="349"/>
      <c r="AJ243" s="363">
        <v>698</v>
      </c>
      <c r="AL243" s="363">
        <v>8031</v>
      </c>
      <c r="AN243" s="349"/>
      <c r="AO243" s="454">
        <v>2007</v>
      </c>
      <c r="AP243" s="478">
        <v>21.75</v>
      </c>
      <c r="AQ243" s="213"/>
      <c r="AS243" s="509">
        <v>2242</v>
      </c>
      <c r="AT243" s="349">
        <v>16113</v>
      </c>
      <c r="AU243" s="480">
        <v>-13871</v>
      </c>
      <c r="AV243" s="199">
        <v>5010</v>
      </c>
      <c r="AW243" s="199">
        <v>722</v>
      </c>
      <c r="AX243" s="199">
        <v>526</v>
      </c>
      <c r="AY243" s="199">
        <v>6258</v>
      </c>
      <c r="AZ243" s="199">
        <v>8185</v>
      </c>
      <c r="BA243" s="181">
        <v>9</v>
      </c>
      <c r="BB243" s="511">
        <v>56</v>
      </c>
      <c r="BC243" s="181">
        <v>33</v>
      </c>
      <c r="BD243" s="181">
        <v>1</v>
      </c>
      <c r="BE243" s="199">
        <v>557</v>
      </c>
      <c r="BG243" s="183">
        <v>490</v>
      </c>
      <c r="BH243" s="199">
        <v>0</v>
      </c>
      <c r="BI243" s="183">
        <v>0</v>
      </c>
      <c r="BJ243" s="199">
        <v>67</v>
      </c>
      <c r="BK243" s="183">
        <v>0</v>
      </c>
      <c r="BL243" s="183">
        <v>0</v>
      </c>
      <c r="BM243" s="183">
        <v>0</v>
      </c>
      <c r="BN243" s="199">
        <v>67</v>
      </c>
      <c r="BP243" s="199">
        <v>4810</v>
      </c>
      <c r="BS243" s="211"/>
      <c r="BV243" s="514">
        <v>725</v>
      </c>
      <c r="BX243" s="181">
        <v>6375</v>
      </c>
      <c r="BZ243" s="349"/>
      <c r="CB243" s="340"/>
      <c r="CC243" s="488">
        <v>21.75</v>
      </c>
      <c r="CD243" s="378"/>
      <c r="CE243" s="378"/>
      <c r="CF243" s="195"/>
      <c r="CG243" s="349"/>
      <c r="CH243" s="347"/>
      <c r="CI243" s="181">
        <v>7293</v>
      </c>
      <c r="CJ243" s="183">
        <v>330</v>
      </c>
      <c r="CK243" s="421">
        <v>8041.4801890746758</v>
      </c>
      <c r="CL243" s="494">
        <v>8343.4845247986777</v>
      </c>
      <c r="CM243" s="483">
        <v>2145.0202169335485</v>
      </c>
      <c r="CN243" s="483">
        <v>2194.6246990534078</v>
      </c>
      <c r="CO243" s="483">
        <v>2107.0276854200938</v>
      </c>
      <c r="CP243" s="433">
        <f t="shared" si="3"/>
        <v>-345.48018907467576</v>
      </c>
      <c r="CQ243" s="212"/>
      <c r="CR243" s="212">
        <v>-7</v>
      </c>
      <c r="CS243" s="212">
        <v>-1457</v>
      </c>
      <c r="CT243" s="183">
        <v>400</v>
      </c>
      <c r="CU243" s="183">
        <v>83</v>
      </c>
      <c r="CV243" s="485">
        <v>2</v>
      </c>
      <c r="CX243" s="422"/>
      <c r="CY243" s="475"/>
      <c r="CZ243" s="450"/>
      <c r="DA243" s="394"/>
      <c r="DB243" s="394"/>
      <c r="DC243" s="347"/>
      <c r="DD243" s="394"/>
      <c r="DE243" s="394"/>
      <c r="DF243" s="394"/>
      <c r="DG243" s="394"/>
      <c r="DH243" s="394"/>
    </row>
    <row r="244" spans="1:112" x14ac:dyDescent="0.25">
      <c r="A244" s="179">
        <v>761</v>
      </c>
      <c r="B244" s="181" t="s">
        <v>268</v>
      </c>
      <c r="C244" s="373">
        <v>8711</v>
      </c>
      <c r="D244" s="360">
        <v>20</v>
      </c>
      <c r="E244" s="213"/>
      <c r="G244" s="363">
        <v>9306</v>
      </c>
      <c r="H244" s="363">
        <v>61394</v>
      </c>
      <c r="I244" s="349"/>
      <c r="J244" s="363">
        <v>24284</v>
      </c>
      <c r="K244" s="363">
        <v>1382</v>
      </c>
      <c r="L244" s="363">
        <v>1844</v>
      </c>
      <c r="M244" s="363">
        <v>27510</v>
      </c>
      <c r="N244" s="363">
        <v>25650</v>
      </c>
      <c r="O244" s="363">
        <v>1</v>
      </c>
      <c r="P244" s="363">
        <v>99</v>
      </c>
      <c r="Q244" s="363">
        <v>183</v>
      </c>
      <c r="R244" s="363">
        <v>20</v>
      </c>
      <c r="S244" s="363">
        <v>1137</v>
      </c>
      <c r="U244" s="363">
        <v>3283</v>
      </c>
      <c r="V244" s="363">
        <v>0</v>
      </c>
      <c r="W244" s="363">
        <v>0</v>
      </c>
      <c r="X244" s="363">
        <v>-2146</v>
      </c>
      <c r="Y244" s="363">
        <v>0</v>
      </c>
      <c r="Z244" s="363">
        <v>0</v>
      </c>
      <c r="AA244" s="363">
        <v>0</v>
      </c>
      <c r="AB244" s="363">
        <v>-2146</v>
      </c>
      <c r="AD244" s="363">
        <v>27548</v>
      </c>
      <c r="AG244" s="363">
        <v>-2322</v>
      </c>
      <c r="AH244" s="349"/>
      <c r="AJ244" s="363">
        <v>2268</v>
      </c>
      <c r="AL244" s="363">
        <v>21697</v>
      </c>
      <c r="AN244" s="349"/>
      <c r="AO244" s="454">
        <v>8646</v>
      </c>
      <c r="AP244" s="478">
        <v>20.5</v>
      </c>
      <c r="AQ244" s="213"/>
      <c r="AS244" s="509">
        <v>9006</v>
      </c>
      <c r="AT244" s="349">
        <v>61130</v>
      </c>
      <c r="AU244" s="480">
        <v>-52124</v>
      </c>
      <c r="AV244" s="199">
        <v>25752</v>
      </c>
      <c r="AW244" s="199">
        <v>1515</v>
      </c>
      <c r="AX244" s="199">
        <v>1663</v>
      </c>
      <c r="AY244" s="199">
        <v>28930</v>
      </c>
      <c r="AZ244" s="199">
        <v>29298</v>
      </c>
      <c r="BA244" s="181">
        <v>1</v>
      </c>
      <c r="BB244" s="511">
        <v>88</v>
      </c>
      <c r="BC244" s="181">
        <v>124</v>
      </c>
      <c r="BD244" s="181">
        <v>11</v>
      </c>
      <c r="BE244" s="199">
        <v>6130</v>
      </c>
      <c r="BG244" s="183">
        <v>3163</v>
      </c>
      <c r="BH244" s="199">
        <v>0</v>
      </c>
      <c r="BI244" s="199">
        <v>0</v>
      </c>
      <c r="BJ244" s="199">
        <v>2967</v>
      </c>
      <c r="BK244" s="199">
        <v>0</v>
      </c>
      <c r="BL244" s="183">
        <v>0</v>
      </c>
      <c r="BM244" s="199">
        <v>0</v>
      </c>
      <c r="BN244" s="199">
        <v>2967</v>
      </c>
      <c r="BP244" s="199">
        <v>30515</v>
      </c>
      <c r="BS244" s="211"/>
      <c r="BV244" s="514">
        <v>4865</v>
      </c>
      <c r="BX244" s="181">
        <v>17580</v>
      </c>
      <c r="BZ244" s="349"/>
      <c r="CB244" s="340"/>
      <c r="CC244" s="488">
        <v>20.5</v>
      </c>
      <c r="CD244" s="378"/>
      <c r="CE244" s="378"/>
      <c r="CF244" s="195"/>
      <c r="CG244" s="349"/>
      <c r="CI244" s="181">
        <v>21912</v>
      </c>
      <c r="CJ244" s="183">
        <v>0</v>
      </c>
      <c r="CK244" s="421">
        <v>27798.126672865157</v>
      </c>
      <c r="CL244" s="494">
        <v>29633.751560842269</v>
      </c>
      <c r="CM244" s="483">
        <v>11300.402875599495</v>
      </c>
      <c r="CN244" s="483">
        <v>11013.173517953319</v>
      </c>
      <c r="CO244" s="483">
        <v>10885.288696457272</v>
      </c>
      <c r="CP244" s="433">
        <f t="shared" si="3"/>
        <v>-2148.1266728651572</v>
      </c>
      <c r="CQ244" s="212"/>
      <c r="CR244" s="212">
        <v>-7</v>
      </c>
      <c r="CS244" s="212">
        <v>-463</v>
      </c>
      <c r="CT244" s="183">
        <v>0</v>
      </c>
      <c r="CU244" s="183">
        <v>23</v>
      </c>
      <c r="CV244" s="485">
        <v>15</v>
      </c>
      <c r="CX244" s="422"/>
      <c r="CY244" s="475"/>
      <c r="CZ244" s="450"/>
      <c r="DA244" s="394"/>
      <c r="DB244" s="394"/>
      <c r="DC244" s="347"/>
      <c r="DD244" s="394"/>
      <c r="DE244" s="394"/>
      <c r="DF244" s="394"/>
      <c r="DG244" s="394"/>
      <c r="DH244" s="394"/>
    </row>
    <row r="245" spans="1:112" x14ac:dyDescent="0.25">
      <c r="A245" s="179">
        <v>762</v>
      </c>
      <c r="B245" s="181" t="s">
        <v>269</v>
      </c>
      <c r="C245" s="373">
        <v>3897</v>
      </c>
      <c r="D245" s="360">
        <v>20.5</v>
      </c>
      <c r="E245" s="213"/>
      <c r="G245" s="363">
        <v>3824</v>
      </c>
      <c r="H245" s="363">
        <v>30177</v>
      </c>
      <c r="I245" s="349"/>
      <c r="J245" s="363">
        <v>9786</v>
      </c>
      <c r="K245" s="363">
        <v>2069</v>
      </c>
      <c r="L245" s="363">
        <v>873</v>
      </c>
      <c r="M245" s="363">
        <v>12728</v>
      </c>
      <c r="N245" s="363">
        <v>15241</v>
      </c>
      <c r="O245" s="363">
        <v>4</v>
      </c>
      <c r="P245" s="363">
        <v>57</v>
      </c>
      <c r="Q245" s="363">
        <v>432</v>
      </c>
      <c r="R245" s="363">
        <v>2</v>
      </c>
      <c r="S245" s="363">
        <v>1993</v>
      </c>
      <c r="U245" s="363">
        <v>1279</v>
      </c>
      <c r="V245" s="363">
        <v>0</v>
      </c>
      <c r="W245" s="363">
        <v>0</v>
      </c>
      <c r="X245" s="363">
        <v>714</v>
      </c>
      <c r="Y245" s="363">
        <v>-579</v>
      </c>
      <c r="Z245" s="363">
        <v>295</v>
      </c>
      <c r="AA245" s="363">
        <v>0</v>
      </c>
      <c r="AB245" s="363">
        <v>430</v>
      </c>
      <c r="AD245" s="363">
        <v>3352</v>
      </c>
      <c r="AG245" s="363">
        <v>-2577</v>
      </c>
      <c r="AH245" s="349"/>
      <c r="AJ245" s="363">
        <v>313</v>
      </c>
      <c r="AL245" s="363">
        <v>10832</v>
      </c>
      <c r="AN245" s="349"/>
      <c r="AO245" s="454">
        <v>3841</v>
      </c>
      <c r="AP245" s="478">
        <v>21.25</v>
      </c>
      <c r="AQ245" s="213"/>
      <c r="AS245" s="509">
        <v>3744</v>
      </c>
      <c r="AT245" s="349">
        <v>30035</v>
      </c>
      <c r="AU245" s="480">
        <v>-26291</v>
      </c>
      <c r="AV245" s="199">
        <v>10099</v>
      </c>
      <c r="AW245" s="199">
        <v>2741</v>
      </c>
      <c r="AX245" s="199">
        <v>1056</v>
      </c>
      <c r="AY245" s="199">
        <v>13896</v>
      </c>
      <c r="AZ245" s="199">
        <v>16523</v>
      </c>
      <c r="BA245" s="181">
        <v>3</v>
      </c>
      <c r="BB245" s="511">
        <v>53</v>
      </c>
      <c r="BC245" s="181">
        <v>463</v>
      </c>
      <c r="BD245" s="181">
        <v>2</v>
      </c>
      <c r="BE245" s="199">
        <v>4539</v>
      </c>
      <c r="BG245" s="183">
        <v>1390</v>
      </c>
      <c r="BH245" s="183">
        <v>0</v>
      </c>
      <c r="BI245" s="183">
        <v>0</v>
      </c>
      <c r="BJ245" s="199">
        <v>3149</v>
      </c>
      <c r="BK245" s="183">
        <v>-141</v>
      </c>
      <c r="BL245" s="183">
        <v>-950</v>
      </c>
      <c r="BM245" s="183">
        <v>0</v>
      </c>
      <c r="BN245" s="199">
        <v>2058</v>
      </c>
      <c r="BP245" s="199">
        <v>5409</v>
      </c>
      <c r="BS245" s="211"/>
      <c r="BV245" s="514">
        <v>1605</v>
      </c>
      <c r="BX245" s="181">
        <v>8752</v>
      </c>
      <c r="BZ245" s="349"/>
      <c r="CB245" s="340"/>
      <c r="CC245" s="488">
        <v>21.25</v>
      </c>
      <c r="CD245" s="378"/>
      <c r="CE245" s="378"/>
      <c r="CF245" s="195"/>
      <c r="CG245" s="349"/>
      <c r="CI245" s="181">
        <v>13110</v>
      </c>
      <c r="CJ245" s="183">
        <v>0</v>
      </c>
      <c r="CK245" s="421">
        <v>16092.818442379812</v>
      </c>
      <c r="CL245" s="494">
        <v>15828.135191225065</v>
      </c>
      <c r="CM245" s="483">
        <v>3969.5097484162502</v>
      </c>
      <c r="CN245" s="483">
        <v>3862.5974417387883</v>
      </c>
      <c r="CO245" s="483">
        <v>3648.6814747980998</v>
      </c>
      <c r="CP245" s="433">
        <f t="shared" si="3"/>
        <v>-851.81844237981204</v>
      </c>
      <c r="CQ245" s="212"/>
      <c r="CR245" s="212">
        <v>38</v>
      </c>
      <c r="CS245" s="212">
        <v>-1255</v>
      </c>
      <c r="CT245" s="183">
        <v>49</v>
      </c>
      <c r="CU245" s="183">
        <v>0</v>
      </c>
      <c r="CV245" s="485">
        <v>1</v>
      </c>
      <c r="CX245" s="422"/>
      <c r="CY245" s="475"/>
      <c r="CZ245" s="450"/>
      <c r="DA245" s="394"/>
      <c r="DB245" s="394"/>
      <c r="DC245" s="347"/>
      <c r="DD245" s="394"/>
      <c r="DE245" s="394"/>
      <c r="DF245" s="394"/>
      <c r="DG245" s="394"/>
      <c r="DH245" s="394"/>
    </row>
    <row r="246" spans="1:112" x14ac:dyDescent="0.25">
      <c r="A246" s="179">
        <v>765</v>
      </c>
      <c r="B246" s="181" t="s">
        <v>270</v>
      </c>
      <c r="C246" s="373">
        <v>10336</v>
      </c>
      <c r="D246" s="360">
        <v>21.25</v>
      </c>
      <c r="E246" s="213"/>
      <c r="G246" s="363">
        <v>11747</v>
      </c>
      <c r="H246" s="363">
        <v>82112</v>
      </c>
      <c r="I246" s="349"/>
      <c r="J246" s="363">
        <v>33521</v>
      </c>
      <c r="K246" s="363">
        <v>2844</v>
      </c>
      <c r="L246" s="363">
        <v>4183</v>
      </c>
      <c r="M246" s="363">
        <v>40548</v>
      </c>
      <c r="N246" s="363">
        <v>26715</v>
      </c>
      <c r="O246" s="363">
        <v>1200</v>
      </c>
      <c r="P246" s="363">
        <v>159</v>
      </c>
      <c r="Q246" s="363">
        <v>16988</v>
      </c>
      <c r="R246" s="363">
        <v>309</v>
      </c>
      <c r="S246" s="363">
        <v>14618</v>
      </c>
      <c r="U246" s="363">
        <v>2781</v>
      </c>
      <c r="V246" s="363">
        <v>39077</v>
      </c>
      <c r="W246" s="363">
        <v>625</v>
      </c>
      <c r="X246" s="363">
        <v>50289</v>
      </c>
      <c r="Y246" s="363">
        <v>97</v>
      </c>
      <c r="Z246" s="363">
        <v>0</v>
      </c>
      <c r="AA246" s="363">
        <v>0</v>
      </c>
      <c r="AB246" s="363">
        <v>50386</v>
      </c>
      <c r="AD246" s="363">
        <v>60821</v>
      </c>
      <c r="AG246" s="363">
        <v>36571</v>
      </c>
      <c r="AH246" s="349"/>
      <c r="AJ246" s="363">
        <v>75811</v>
      </c>
      <c r="AL246" s="363">
        <v>31455</v>
      </c>
      <c r="AN246" s="349"/>
      <c r="AO246" s="454">
        <v>10301</v>
      </c>
      <c r="AP246" s="478">
        <v>19.75</v>
      </c>
      <c r="AQ246" s="213"/>
      <c r="AS246" s="509">
        <v>10843</v>
      </c>
      <c r="AT246" s="349">
        <v>84854</v>
      </c>
      <c r="AU246" s="480">
        <v>-74011</v>
      </c>
      <c r="AV246" s="199">
        <v>31996</v>
      </c>
      <c r="AW246" s="199">
        <v>3447</v>
      </c>
      <c r="AX246" s="199">
        <v>3918</v>
      </c>
      <c r="AY246" s="199">
        <v>39361</v>
      </c>
      <c r="AZ246" s="199">
        <v>31182</v>
      </c>
      <c r="BA246" s="181">
        <v>5</v>
      </c>
      <c r="BB246" s="511">
        <v>487</v>
      </c>
      <c r="BC246" s="181">
        <v>2118</v>
      </c>
      <c r="BD246" s="181">
        <v>359</v>
      </c>
      <c r="BE246" s="199">
        <v>-2191</v>
      </c>
      <c r="BG246" s="183">
        <v>2862</v>
      </c>
      <c r="BH246" s="183">
        <v>0</v>
      </c>
      <c r="BI246" s="183">
        <v>0</v>
      </c>
      <c r="BJ246" s="199">
        <v>-5053</v>
      </c>
      <c r="BK246" s="183">
        <v>82</v>
      </c>
      <c r="BL246" s="183">
        <v>0</v>
      </c>
      <c r="BM246" s="183">
        <v>0</v>
      </c>
      <c r="BN246" s="199">
        <v>-4971</v>
      </c>
      <c r="BP246" s="199">
        <v>55850</v>
      </c>
      <c r="BS246" s="211"/>
      <c r="BV246" s="514">
        <v>61975</v>
      </c>
      <c r="BX246" s="181">
        <v>25077</v>
      </c>
      <c r="BZ246" s="349"/>
      <c r="CB246" s="340"/>
      <c r="CC246" s="488">
        <v>19.75</v>
      </c>
      <c r="CD246" s="378"/>
      <c r="CE246" s="378"/>
      <c r="CF246" s="195"/>
      <c r="CG246" s="349"/>
      <c r="CI246" s="181">
        <v>20366</v>
      </c>
      <c r="CJ246" s="183">
        <v>0</v>
      </c>
      <c r="CK246" s="421">
        <v>28681.460705288868</v>
      </c>
      <c r="CL246" s="494">
        <v>30123.569823650352</v>
      </c>
      <c r="CM246" s="483">
        <v>7363.1069103777072</v>
      </c>
      <c r="CN246" s="483">
        <v>7459.1511840427102</v>
      </c>
      <c r="CO246" s="483">
        <v>7433.540375466182</v>
      </c>
      <c r="CP246" s="433">
        <f t="shared" si="3"/>
        <v>-1966.4607052888678</v>
      </c>
      <c r="CQ246" s="212"/>
      <c r="CR246" s="212">
        <v>-131</v>
      </c>
      <c r="CS246" s="212">
        <v>-7497</v>
      </c>
      <c r="CT246" s="183">
        <v>143</v>
      </c>
      <c r="CU246" s="183">
        <v>243</v>
      </c>
      <c r="CV246" s="485">
        <v>-28</v>
      </c>
      <c r="CX246" s="422"/>
      <c r="CY246" s="475"/>
      <c r="CZ246" s="450"/>
      <c r="DA246" s="394"/>
      <c r="DB246" s="394"/>
      <c r="DC246" s="347"/>
      <c r="DD246" s="394"/>
      <c r="DE246" s="394"/>
      <c r="DF246" s="394"/>
      <c r="DG246" s="394"/>
      <c r="DH246" s="394"/>
    </row>
    <row r="247" spans="1:112" x14ac:dyDescent="0.25">
      <c r="A247" s="179">
        <v>768</v>
      </c>
      <c r="B247" s="181" t="s">
        <v>271</v>
      </c>
      <c r="C247" s="373">
        <v>2492</v>
      </c>
      <c r="D247" s="360">
        <v>21.5</v>
      </c>
      <c r="E247" s="213"/>
      <c r="G247" s="363">
        <v>2536</v>
      </c>
      <c r="H247" s="363">
        <v>20898</v>
      </c>
      <c r="I247" s="349"/>
      <c r="J247" s="363">
        <v>6238</v>
      </c>
      <c r="K247" s="363">
        <v>1233</v>
      </c>
      <c r="L247" s="363">
        <v>981</v>
      </c>
      <c r="M247" s="363">
        <v>8452</v>
      </c>
      <c r="N247" s="363">
        <v>11154</v>
      </c>
      <c r="O247" s="363">
        <v>8</v>
      </c>
      <c r="P247" s="363">
        <v>20</v>
      </c>
      <c r="Q247" s="363">
        <v>203</v>
      </c>
      <c r="R247" s="363">
        <v>3</v>
      </c>
      <c r="S247" s="363">
        <v>1432</v>
      </c>
      <c r="U247" s="363">
        <v>560</v>
      </c>
      <c r="V247" s="363">
        <v>0</v>
      </c>
      <c r="W247" s="363">
        <v>0</v>
      </c>
      <c r="X247" s="363">
        <v>872</v>
      </c>
      <c r="Y247" s="363">
        <v>4</v>
      </c>
      <c r="Z247" s="363">
        <v>0</v>
      </c>
      <c r="AA247" s="363">
        <v>0</v>
      </c>
      <c r="AB247" s="363">
        <v>876</v>
      </c>
      <c r="AD247" s="363">
        <v>4485</v>
      </c>
      <c r="AG247" s="363">
        <v>-1310</v>
      </c>
      <c r="AH247" s="349"/>
      <c r="AJ247" s="363">
        <v>303</v>
      </c>
      <c r="AL247" s="363">
        <v>3800</v>
      </c>
      <c r="AN247" s="349"/>
      <c r="AO247" s="454">
        <v>2482</v>
      </c>
      <c r="AP247" s="478">
        <v>21.5</v>
      </c>
      <c r="AQ247" s="213"/>
      <c r="AS247" s="509">
        <v>2441</v>
      </c>
      <c r="AT247" s="349">
        <v>21420</v>
      </c>
      <c r="AU247" s="480">
        <v>-18979</v>
      </c>
      <c r="AV247" s="199">
        <v>6541</v>
      </c>
      <c r="AW247" s="199">
        <v>1511</v>
      </c>
      <c r="AX247" s="199">
        <v>895</v>
      </c>
      <c r="AY247" s="199">
        <v>8947</v>
      </c>
      <c r="AZ247" s="199">
        <v>12128</v>
      </c>
      <c r="BA247" s="181">
        <v>8</v>
      </c>
      <c r="BB247" s="511">
        <v>14</v>
      </c>
      <c r="BC247" s="181">
        <v>237</v>
      </c>
      <c r="BD247" s="181">
        <v>0</v>
      </c>
      <c r="BE247" s="199">
        <v>2327</v>
      </c>
      <c r="BG247" s="183">
        <v>1539</v>
      </c>
      <c r="BH247" s="199">
        <v>0</v>
      </c>
      <c r="BI247" s="199">
        <v>0</v>
      </c>
      <c r="BJ247" s="199">
        <v>788</v>
      </c>
      <c r="BK247" s="199">
        <v>4</v>
      </c>
      <c r="BL247" s="199">
        <v>0</v>
      </c>
      <c r="BM247" s="199">
        <v>0</v>
      </c>
      <c r="BN247" s="199">
        <v>792</v>
      </c>
      <c r="BP247" s="199">
        <v>5279</v>
      </c>
      <c r="BS247" s="211"/>
      <c r="BV247" s="514">
        <v>886</v>
      </c>
      <c r="BX247" s="181">
        <v>2966</v>
      </c>
      <c r="BZ247" s="349"/>
      <c r="CB247" s="340"/>
      <c r="CC247" s="488">
        <v>21.5</v>
      </c>
      <c r="CD247" s="378"/>
      <c r="CE247" s="378"/>
      <c r="CF247" s="195"/>
      <c r="CG247" s="349"/>
      <c r="CI247" s="181">
        <v>8783</v>
      </c>
      <c r="CJ247" s="183">
        <v>0</v>
      </c>
      <c r="CK247" s="421">
        <v>11279.61466528866</v>
      </c>
      <c r="CL247" s="494">
        <v>11414.297657436104</v>
      </c>
      <c r="CM247" s="483">
        <v>2534.0806369676125</v>
      </c>
      <c r="CN247" s="483">
        <v>2317.6923890964376</v>
      </c>
      <c r="CO247" s="483">
        <v>2299.0677817341016</v>
      </c>
      <c r="CP247" s="433">
        <f t="shared" si="3"/>
        <v>-125.61466528866004</v>
      </c>
      <c r="CQ247" s="212"/>
      <c r="CR247" s="212">
        <v>-63</v>
      </c>
      <c r="CS247" s="212">
        <v>-783</v>
      </c>
      <c r="CT247" s="183">
        <v>30</v>
      </c>
      <c r="CU247" s="183">
        <v>99</v>
      </c>
      <c r="CV247" s="485">
        <v>0</v>
      </c>
      <c r="CX247" s="422"/>
      <c r="CY247" s="475"/>
      <c r="CZ247" s="450"/>
      <c r="DA247" s="394"/>
      <c r="DB247" s="394"/>
      <c r="DC247" s="347"/>
      <c r="DD247" s="394"/>
      <c r="DE247" s="394"/>
      <c r="DF247" s="394"/>
      <c r="DG247" s="394"/>
      <c r="DH247" s="394"/>
    </row>
    <row r="248" spans="1:112" x14ac:dyDescent="0.25">
      <c r="A248" s="179">
        <v>777</v>
      </c>
      <c r="B248" s="181" t="s">
        <v>272</v>
      </c>
      <c r="C248" s="373">
        <v>7727</v>
      </c>
      <c r="D248" s="360">
        <v>21.5</v>
      </c>
      <c r="E248" s="213"/>
      <c r="G248" s="363">
        <v>8522</v>
      </c>
      <c r="H248" s="363">
        <v>64858</v>
      </c>
      <c r="I248" s="349"/>
      <c r="J248" s="363">
        <v>21111</v>
      </c>
      <c r="K248" s="363">
        <v>2675</v>
      </c>
      <c r="L248" s="363">
        <v>3082</v>
      </c>
      <c r="M248" s="363">
        <v>26868</v>
      </c>
      <c r="N248" s="363">
        <v>30747</v>
      </c>
      <c r="O248" s="363">
        <v>31</v>
      </c>
      <c r="P248" s="363">
        <v>212</v>
      </c>
      <c r="Q248" s="363">
        <v>511</v>
      </c>
      <c r="R248" s="363">
        <v>31</v>
      </c>
      <c r="S248" s="363">
        <v>1578</v>
      </c>
      <c r="U248" s="363">
        <v>3958</v>
      </c>
      <c r="V248" s="363">
        <v>0</v>
      </c>
      <c r="W248" s="363">
        <v>0</v>
      </c>
      <c r="X248" s="363">
        <v>-2380</v>
      </c>
      <c r="Y248" s="363">
        <v>0</v>
      </c>
      <c r="Z248" s="363">
        <v>0</v>
      </c>
      <c r="AA248" s="363">
        <v>22</v>
      </c>
      <c r="AB248" s="363">
        <v>-2358</v>
      </c>
      <c r="AD248" s="363">
        <v>9750</v>
      </c>
      <c r="AG248" s="363">
        <v>-2505</v>
      </c>
      <c r="AH248" s="349"/>
      <c r="AJ248" s="363">
        <v>11944</v>
      </c>
      <c r="AL248" s="363">
        <v>15271</v>
      </c>
      <c r="AN248" s="349"/>
      <c r="AO248" s="454">
        <v>7594</v>
      </c>
      <c r="AP248" s="478">
        <v>21.5</v>
      </c>
      <c r="AQ248" s="213"/>
      <c r="AS248" s="509">
        <v>9458</v>
      </c>
      <c r="AT248" s="349">
        <v>68126</v>
      </c>
      <c r="AU248" s="480">
        <v>-58668</v>
      </c>
      <c r="AV248" s="199">
        <v>22092</v>
      </c>
      <c r="AW248" s="199">
        <v>3003</v>
      </c>
      <c r="AX248" s="199">
        <v>3019</v>
      </c>
      <c r="AY248" s="199">
        <v>28114</v>
      </c>
      <c r="AZ248" s="199">
        <v>34348</v>
      </c>
      <c r="BA248" s="181">
        <v>13</v>
      </c>
      <c r="BB248" s="511">
        <v>189</v>
      </c>
      <c r="BC248" s="181">
        <v>257</v>
      </c>
      <c r="BD248" s="181">
        <v>13</v>
      </c>
      <c r="BE248" s="199">
        <v>3862</v>
      </c>
      <c r="BG248" s="183">
        <v>4102</v>
      </c>
      <c r="BH248" s="199">
        <v>0</v>
      </c>
      <c r="BI248" s="183">
        <v>0</v>
      </c>
      <c r="BJ248" s="199">
        <v>-240</v>
      </c>
      <c r="BK248" s="183">
        <v>0</v>
      </c>
      <c r="BL248" s="183">
        <v>0</v>
      </c>
      <c r="BM248" s="183">
        <v>-2</v>
      </c>
      <c r="BN248" s="199">
        <v>-242</v>
      </c>
      <c r="BP248" s="199">
        <v>9508</v>
      </c>
      <c r="BS248" s="211"/>
      <c r="BV248" s="514">
        <v>17910</v>
      </c>
      <c r="BX248" s="181">
        <v>23066</v>
      </c>
      <c r="BZ248" s="349"/>
      <c r="CB248" s="340"/>
      <c r="CC248" s="488">
        <v>21.5</v>
      </c>
      <c r="CD248" s="378"/>
      <c r="CE248" s="378"/>
      <c r="CF248" s="195"/>
      <c r="CG248" s="349"/>
      <c r="CI248" s="181">
        <v>30325</v>
      </c>
      <c r="CJ248" s="183">
        <v>0</v>
      </c>
      <c r="CK248" s="421">
        <v>33634.15851812029</v>
      </c>
      <c r="CL248" s="494">
        <v>34524.535224659645</v>
      </c>
      <c r="CM248" s="483">
        <v>10318.600257190752</v>
      </c>
      <c r="CN248" s="483">
        <v>10087.611354120385</v>
      </c>
      <c r="CO248" s="483">
        <v>9674.951213753804</v>
      </c>
      <c r="CP248" s="433">
        <f t="shared" si="3"/>
        <v>-2887.15851812029</v>
      </c>
      <c r="CQ248" s="212"/>
      <c r="CR248" s="212">
        <v>138</v>
      </c>
      <c r="CS248" s="212">
        <v>-8716</v>
      </c>
      <c r="CT248" s="183">
        <v>128</v>
      </c>
      <c r="CU248" s="183">
        <v>7</v>
      </c>
      <c r="CV248" s="485">
        <v>0</v>
      </c>
      <c r="CX248" s="422"/>
      <c r="CY248" s="475"/>
      <c r="CZ248" s="450"/>
      <c r="DA248" s="394"/>
      <c r="DB248" s="394"/>
      <c r="DC248" s="347"/>
      <c r="DD248" s="394"/>
      <c r="DE248" s="394"/>
      <c r="DF248" s="394"/>
      <c r="DG248" s="394"/>
      <c r="DH248" s="394"/>
    </row>
    <row r="249" spans="1:112" x14ac:dyDescent="0.25">
      <c r="A249" s="179">
        <v>778</v>
      </c>
      <c r="B249" s="181" t="s">
        <v>273</v>
      </c>
      <c r="C249" s="373">
        <v>7064</v>
      </c>
      <c r="D249" s="360">
        <v>21.75</v>
      </c>
      <c r="E249" s="213"/>
      <c r="G249" s="363">
        <v>7622</v>
      </c>
      <c r="H249" s="363">
        <v>55570</v>
      </c>
      <c r="I249" s="349"/>
      <c r="J249" s="363">
        <v>21030</v>
      </c>
      <c r="K249" s="363">
        <v>1761</v>
      </c>
      <c r="L249" s="363">
        <v>1806</v>
      </c>
      <c r="M249" s="363">
        <v>24597</v>
      </c>
      <c r="N249" s="363">
        <v>25500</v>
      </c>
      <c r="O249" s="363">
        <v>188</v>
      </c>
      <c r="P249" s="363">
        <v>524</v>
      </c>
      <c r="Q249" s="363">
        <v>634</v>
      </c>
      <c r="R249" s="363">
        <v>1</v>
      </c>
      <c r="S249" s="363">
        <v>2446</v>
      </c>
      <c r="U249" s="363">
        <v>2273</v>
      </c>
      <c r="V249" s="363">
        <v>0</v>
      </c>
      <c r="W249" s="363">
        <v>0</v>
      </c>
      <c r="X249" s="363">
        <v>173</v>
      </c>
      <c r="Y249" s="363">
        <v>0</v>
      </c>
      <c r="Z249" s="363">
        <v>0</v>
      </c>
      <c r="AA249" s="363">
        <v>0</v>
      </c>
      <c r="AB249" s="363">
        <v>173</v>
      </c>
      <c r="AD249" s="363">
        <v>7679</v>
      </c>
      <c r="AG249" s="363">
        <v>-1140</v>
      </c>
      <c r="AH249" s="349"/>
      <c r="AJ249" s="363">
        <v>3791</v>
      </c>
      <c r="AL249" s="363">
        <v>27078</v>
      </c>
      <c r="AN249" s="349"/>
      <c r="AO249" s="454">
        <v>6931</v>
      </c>
      <c r="AP249" s="478">
        <v>21.75</v>
      </c>
      <c r="AQ249" s="213"/>
      <c r="AS249" s="509">
        <v>7571</v>
      </c>
      <c r="AT249" s="349">
        <v>56614</v>
      </c>
      <c r="AU249" s="480">
        <v>-49043</v>
      </c>
      <c r="AV249" s="199">
        <v>20709</v>
      </c>
      <c r="AW249" s="199">
        <v>1942</v>
      </c>
      <c r="AX249" s="199">
        <v>1660</v>
      </c>
      <c r="AY249" s="199">
        <v>24311</v>
      </c>
      <c r="AZ249" s="199">
        <v>27391</v>
      </c>
      <c r="BA249" s="181">
        <v>191</v>
      </c>
      <c r="BB249" s="511">
        <v>491</v>
      </c>
      <c r="BC249" s="181">
        <v>659</v>
      </c>
      <c r="BD249" s="181">
        <v>0</v>
      </c>
      <c r="BE249" s="199">
        <v>3018</v>
      </c>
      <c r="BG249" s="183">
        <v>2317</v>
      </c>
      <c r="BH249" s="183">
        <v>0</v>
      </c>
      <c r="BI249" s="183">
        <v>0</v>
      </c>
      <c r="BJ249" s="199">
        <v>701</v>
      </c>
      <c r="BK249" s="199">
        <v>0</v>
      </c>
      <c r="BL249" s="183">
        <v>0</v>
      </c>
      <c r="BM249" s="183">
        <v>0</v>
      </c>
      <c r="BN249" s="199">
        <v>701</v>
      </c>
      <c r="BP249" s="199">
        <v>8379</v>
      </c>
      <c r="BS249" s="211"/>
      <c r="BV249" s="514">
        <v>2460</v>
      </c>
      <c r="BX249" s="181">
        <v>21243</v>
      </c>
      <c r="BZ249" s="349"/>
      <c r="CB249" s="340"/>
      <c r="CC249" s="488">
        <v>21.75</v>
      </c>
      <c r="CD249" s="378"/>
      <c r="CE249" s="378"/>
      <c r="CF249" s="195"/>
      <c r="CG249" s="349"/>
      <c r="CI249" s="181">
        <v>21875</v>
      </c>
      <c r="CJ249" s="183">
        <v>0</v>
      </c>
      <c r="CK249" s="421">
        <v>25978.145038145929</v>
      </c>
      <c r="CL249" s="494">
        <v>27510.610759093106</v>
      </c>
      <c r="CM249" s="483">
        <v>4512.7609464765155</v>
      </c>
      <c r="CN249" s="483">
        <v>4702.1545829122251</v>
      </c>
      <c r="CO249" s="483">
        <v>4706.0310160244235</v>
      </c>
      <c r="CP249" s="433">
        <f t="shared" si="3"/>
        <v>-478.14503814592899</v>
      </c>
      <c r="CQ249" s="212"/>
      <c r="CR249" s="212">
        <v>63</v>
      </c>
      <c r="CS249" s="212">
        <v>-1484</v>
      </c>
      <c r="CT249" s="183">
        <v>37</v>
      </c>
      <c r="CU249" s="183">
        <v>490</v>
      </c>
      <c r="CV249" s="485">
        <v>0</v>
      </c>
      <c r="CX249" s="422"/>
      <c r="CY249" s="475"/>
      <c r="CZ249" s="450"/>
      <c r="DA249" s="394"/>
      <c r="DB249" s="394"/>
      <c r="DC249" s="347"/>
      <c r="DD249" s="394"/>
      <c r="DE249" s="394"/>
      <c r="DF249" s="394"/>
      <c r="DG249" s="394"/>
      <c r="DH249" s="394"/>
    </row>
    <row r="250" spans="1:112" x14ac:dyDescent="0.25">
      <c r="A250" s="179">
        <v>781</v>
      </c>
      <c r="B250" s="181" t="s">
        <v>274</v>
      </c>
      <c r="C250" s="373">
        <v>3657</v>
      </c>
      <c r="D250" s="360">
        <v>19</v>
      </c>
      <c r="E250" s="213"/>
      <c r="G250" s="363">
        <v>7858</v>
      </c>
      <c r="H250" s="363">
        <v>32611</v>
      </c>
      <c r="I250" s="349"/>
      <c r="J250" s="363">
        <v>8447</v>
      </c>
      <c r="K250" s="363">
        <v>1437</v>
      </c>
      <c r="L250" s="363">
        <v>1973</v>
      </c>
      <c r="M250" s="363">
        <v>11857</v>
      </c>
      <c r="N250" s="363">
        <v>13218</v>
      </c>
      <c r="O250" s="363">
        <v>1</v>
      </c>
      <c r="P250" s="363">
        <v>21</v>
      </c>
      <c r="Q250" s="363">
        <v>433</v>
      </c>
      <c r="R250" s="363">
        <v>11</v>
      </c>
      <c r="S250" s="363">
        <v>724</v>
      </c>
      <c r="U250" s="363">
        <v>1194</v>
      </c>
      <c r="V250" s="363">
        <v>190</v>
      </c>
      <c r="W250" s="363">
        <v>0</v>
      </c>
      <c r="X250" s="363">
        <v>-280</v>
      </c>
      <c r="Y250" s="363">
        <v>271</v>
      </c>
      <c r="Z250" s="363">
        <v>0</v>
      </c>
      <c r="AA250" s="363">
        <v>0</v>
      </c>
      <c r="AB250" s="363">
        <v>-9</v>
      </c>
      <c r="AD250" s="363">
        <v>4761</v>
      </c>
      <c r="AG250" s="363">
        <v>-2370</v>
      </c>
      <c r="AH250" s="349"/>
      <c r="AJ250" s="363">
        <v>4166</v>
      </c>
      <c r="AL250" s="363">
        <v>3476</v>
      </c>
      <c r="AN250" s="349"/>
      <c r="AO250" s="454">
        <v>3631</v>
      </c>
      <c r="AP250" s="478">
        <v>19</v>
      </c>
      <c r="AQ250" s="213"/>
      <c r="AS250" s="509">
        <v>9205</v>
      </c>
      <c r="AT250" s="349">
        <v>34156</v>
      </c>
      <c r="AU250" s="480">
        <v>-24951</v>
      </c>
      <c r="AV250" s="199">
        <v>9230</v>
      </c>
      <c r="AW250" s="199">
        <v>1595</v>
      </c>
      <c r="AX250" s="199">
        <v>1821</v>
      </c>
      <c r="AY250" s="199">
        <v>12646</v>
      </c>
      <c r="AZ250" s="199">
        <v>14645</v>
      </c>
      <c r="BA250" s="181">
        <v>6</v>
      </c>
      <c r="BB250" s="511">
        <v>9</v>
      </c>
      <c r="BC250" s="181">
        <v>320</v>
      </c>
      <c r="BD250" s="181">
        <v>43</v>
      </c>
      <c r="BE250" s="199">
        <v>2614</v>
      </c>
      <c r="BG250" s="183">
        <v>1227</v>
      </c>
      <c r="BH250" s="183">
        <v>0</v>
      </c>
      <c r="BI250" s="183">
        <v>0</v>
      </c>
      <c r="BJ250" s="199">
        <v>1387</v>
      </c>
      <c r="BK250" s="183">
        <v>277</v>
      </c>
      <c r="BL250" s="183">
        <v>-1600</v>
      </c>
      <c r="BM250" s="199">
        <v>0</v>
      </c>
      <c r="BN250" s="199">
        <v>64</v>
      </c>
      <c r="BP250" s="199">
        <v>4825</v>
      </c>
      <c r="BS250" s="211"/>
      <c r="BV250" s="514">
        <v>7178</v>
      </c>
      <c r="BX250" s="181">
        <v>3369</v>
      </c>
      <c r="BZ250" s="349"/>
      <c r="CB250" s="340"/>
      <c r="CC250" s="488">
        <v>19</v>
      </c>
      <c r="CD250" s="378"/>
      <c r="CE250" s="378"/>
      <c r="CF250" s="195"/>
      <c r="CG250" s="349"/>
      <c r="CI250" s="181">
        <v>12058</v>
      </c>
      <c r="CJ250" s="183">
        <v>0</v>
      </c>
      <c r="CK250" s="421">
        <v>14515.651922532074</v>
      </c>
      <c r="CL250" s="494">
        <v>15154.227554406159</v>
      </c>
      <c r="CM250" s="483">
        <v>4212.6836047348934</v>
      </c>
      <c r="CN250" s="483">
        <v>4007.4591806194394</v>
      </c>
      <c r="CO250" s="483">
        <v>3856.7196051826031</v>
      </c>
      <c r="CP250" s="433">
        <f t="shared" si="3"/>
        <v>-1297.6519225320735</v>
      </c>
      <c r="CQ250" s="212"/>
      <c r="CR250" s="212">
        <v>96</v>
      </c>
      <c r="CS250" s="212">
        <v>-916</v>
      </c>
      <c r="CT250" s="183">
        <v>0</v>
      </c>
      <c r="CU250" s="183">
        <v>130</v>
      </c>
      <c r="CV250" s="485">
        <v>0</v>
      </c>
      <c r="CX250" s="422"/>
      <c r="CY250" s="475"/>
      <c r="CZ250" s="450"/>
      <c r="DA250" s="394"/>
      <c r="DB250" s="394"/>
      <c r="DC250" s="347"/>
      <c r="DD250" s="394"/>
      <c r="DE250" s="394"/>
      <c r="DF250" s="394"/>
      <c r="DG250" s="394"/>
      <c r="DH250" s="394"/>
    </row>
    <row r="251" spans="1:112" x14ac:dyDescent="0.25">
      <c r="A251" s="179">
        <v>783</v>
      </c>
      <c r="B251" s="181" t="s">
        <v>275</v>
      </c>
      <c r="C251" s="373">
        <v>6721</v>
      </c>
      <c r="D251" s="360">
        <v>21.5</v>
      </c>
      <c r="E251" s="213"/>
      <c r="G251" s="363">
        <v>8161</v>
      </c>
      <c r="H251" s="363">
        <v>45871</v>
      </c>
      <c r="I251" s="349"/>
      <c r="J251" s="363">
        <v>23265</v>
      </c>
      <c r="K251" s="363">
        <v>1356</v>
      </c>
      <c r="L251" s="363">
        <v>1982</v>
      </c>
      <c r="M251" s="363">
        <v>26603</v>
      </c>
      <c r="N251" s="363">
        <v>11689</v>
      </c>
      <c r="O251" s="363">
        <v>1</v>
      </c>
      <c r="P251" s="363">
        <v>39</v>
      </c>
      <c r="Q251" s="363">
        <v>38</v>
      </c>
      <c r="R251" s="363">
        <v>3</v>
      </c>
      <c r="S251" s="363">
        <v>579</v>
      </c>
      <c r="U251" s="363">
        <v>2258</v>
      </c>
      <c r="V251" s="363">
        <v>0</v>
      </c>
      <c r="W251" s="363">
        <v>0</v>
      </c>
      <c r="X251" s="363">
        <v>-1679</v>
      </c>
      <c r="Y251" s="363">
        <v>1</v>
      </c>
      <c r="Z251" s="363">
        <v>0</v>
      </c>
      <c r="AA251" s="363">
        <v>0</v>
      </c>
      <c r="AB251" s="363">
        <v>-1678</v>
      </c>
      <c r="AD251" s="363">
        <v>299</v>
      </c>
      <c r="AG251" s="363">
        <v>-2671</v>
      </c>
      <c r="AH251" s="349"/>
      <c r="AJ251" s="363">
        <v>731</v>
      </c>
      <c r="AL251" s="363">
        <v>9941</v>
      </c>
      <c r="AN251" s="349"/>
      <c r="AO251" s="454">
        <v>6646</v>
      </c>
      <c r="AP251" s="478">
        <v>21.5</v>
      </c>
      <c r="AQ251" s="213"/>
      <c r="AS251" s="509">
        <v>7622</v>
      </c>
      <c r="AT251" s="349">
        <v>46043</v>
      </c>
      <c r="AU251" s="480">
        <v>-38421</v>
      </c>
      <c r="AV251" s="199">
        <v>24094</v>
      </c>
      <c r="AW251" s="199">
        <v>1386</v>
      </c>
      <c r="AX251" s="199">
        <v>1858</v>
      </c>
      <c r="AY251" s="199">
        <v>27338</v>
      </c>
      <c r="AZ251" s="199">
        <v>15046</v>
      </c>
      <c r="BA251" s="181">
        <v>9</v>
      </c>
      <c r="BB251" s="511">
        <v>34</v>
      </c>
      <c r="BC251" s="181">
        <v>41</v>
      </c>
      <c r="BD251" s="181">
        <v>2</v>
      </c>
      <c r="BE251" s="199">
        <v>3977</v>
      </c>
      <c r="BG251" s="183">
        <v>2328</v>
      </c>
      <c r="BH251" s="183">
        <v>0</v>
      </c>
      <c r="BI251" s="183">
        <v>0</v>
      </c>
      <c r="BJ251" s="199">
        <v>1649</v>
      </c>
      <c r="BK251" s="183">
        <v>1</v>
      </c>
      <c r="BL251" s="183">
        <v>0</v>
      </c>
      <c r="BM251" s="183">
        <v>0</v>
      </c>
      <c r="BN251" s="199">
        <v>1650</v>
      </c>
      <c r="BP251" s="199">
        <v>2023</v>
      </c>
      <c r="BS251" s="211"/>
      <c r="BV251" s="514">
        <v>1944</v>
      </c>
      <c r="BX251" s="181">
        <v>9398</v>
      </c>
      <c r="BZ251" s="349"/>
      <c r="CB251" s="340"/>
      <c r="CC251" s="488">
        <v>21.5</v>
      </c>
      <c r="CD251" s="378"/>
      <c r="CE251" s="378"/>
      <c r="CF251" s="195"/>
      <c r="CG251" s="349"/>
      <c r="CI251" s="181">
        <v>5702</v>
      </c>
      <c r="CJ251" s="183">
        <v>380</v>
      </c>
      <c r="CK251" s="421">
        <v>14727.685124454149</v>
      </c>
      <c r="CL251" s="494">
        <v>16160.673232703011</v>
      </c>
      <c r="CM251" s="483">
        <v>1264.2099452451866</v>
      </c>
      <c r="CN251" s="483">
        <v>1304.7489494856891</v>
      </c>
      <c r="CO251" s="483">
        <v>1392.7462421205769</v>
      </c>
      <c r="CP251" s="433">
        <f t="shared" si="3"/>
        <v>-3038.6851244541485</v>
      </c>
      <c r="CQ251" s="212"/>
      <c r="CR251" s="212">
        <v>46</v>
      </c>
      <c r="CS251" s="212">
        <v>-2486</v>
      </c>
      <c r="CT251" s="183">
        <v>111</v>
      </c>
      <c r="CU251" s="183">
        <v>139</v>
      </c>
      <c r="CV251" s="485">
        <v>0</v>
      </c>
      <c r="CX251" s="422"/>
      <c r="CY251" s="475"/>
      <c r="CZ251" s="450"/>
      <c r="DA251" s="394"/>
      <c r="DB251" s="394"/>
      <c r="DC251" s="347"/>
      <c r="DD251" s="394"/>
      <c r="DE251" s="394"/>
      <c r="DF251" s="394"/>
      <c r="DG251" s="394"/>
      <c r="DH251" s="394"/>
    </row>
    <row r="252" spans="1:112" x14ac:dyDescent="0.25">
      <c r="A252" s="179">
        <v>831</v>
      </c>
      <c r="B252" s="181" t="s">
        <v>276</v>
      </c>
      <c r="C252" s="373">
        <v>4671</v>
      </c>
      <c r="D252" s="360">
        <v>21</v>
      </c>
      <c r="E252" s="213"/>
      <c r="G252" s="363">
        <v>2613</v>
      </c>
      <c r="H252" s="363">
        <v>27077</v>
      </c>
      <c r="I252" s="349"/>
      <c r="J252" s="363">
        <v>17293</v>
      </c>
      <c r="K252" s="363">
        <v>875</v>
      </c>
      <c r="L252" s="363">
        <v>2057</v>
      </c>
      <c r="M252" s="363">
        <v>20225</v>
      </c>
      <c r="N252" s="363">
        <v>6042</v>
      </c>
      <c r="O252" s="363">
        <v>15</v>
      </c>
      <c r="P252" s="363">
        <v>151</v>
      </c>
      <c r="Q252" s="363">
        <v>15</v>
      </c>
      <c r="R252" s="363">
        <v>7</v>
      </c>
      <c r="S252" s="363">
        <v>1675</v>
      </c>
      <c r="U252" s="363">
        <v>1666</v>
      </c>
      <c r="V252" s="363">
        <v>0</v>
      </c>
      <c r="W252" s="363">
        <v>0</v>
      </c>
      <c r="X252" s="363">
        <v>9</v>
      </c>
      <c r="Y252" s="363">
        <v>93</v>
      </c>
      <c r="Z252" s="363">
        <v>0</v>
      </c>
      <c r="AA252" s="363">
        <v>0</v>
      </c>
      <c r="AB252" s="363">
        <v>102</v>
      </c>
      <c r="AD252" s="363">
        <v>-747</v>
      </c>
      <c r="AG252" s="363">
        <v>-814</v>
      </c>
      <c r="AH252" s="349"/>
      <c r="AJ252" s="363">
        <v>942</v>
      </c>
      <c r="AL252" s="363">
        <v>17283</v>
      </c>
      <c r="AN252" s="349"/>
      <c r="AO252" s="454">
        <v>4628</v>
      </c>
      <c r="AP252" s="478">
        <v>21</v>
      </c>
      <c r="AQ252" s="213"/>
      <c r="AS252" s="509">
        <v>2659</v>
      </c>
      <c r="AT252" s="349">
        <v>28166</v>
      </c>
      <c r="AU252" s="480">
        <v>-25507</v>
      </c>
      <c r="AV252" s="199">
        <v>17502</v>
      </c>
      <c r="AW252" s="199">
        <v>868</v>
      </c>
      <c r="AX252" s="199">
        <v>1893</v>
      </c>
      <c r="AY252" s="199">
        <v>20263</v>
      </c>
      <c r="AZ252" s="199">
        <v>8157</v>
      </c>
      <c r="BA252" s="181">
        <v>9</v>
      </c>
      <c r="BB252" s="511">
        <v>135</v>
      </c>
      <c r="BC252" s="181">
        <v>12</v>
      </c>
      <c r="BD252" s="181">
        <v>7</v>
      </c>
      <c r="BE252" s="199">
        <v>2792</v>
      </c>
      <c r="BG252" s="183">
        <v>1626</v>
      </c>
      <c r="BH252" s="183">
        <v>0</v>
      </c>
      <c r="BI252" s="183">
        <v>0</v>
      </c>
      <c r="BJ252" s="199">
        <v>1166</v>
      </c>
      <c r="BK252" s="183">
        <v>93</v>
      </c>
      <c r="BL252" s="183">
        <v>0</v>
      </c>
      <c r="BM252" s="183">
        <v>0</v>
      </c>
      <c r="BN252" s="199">
        <v>1259</v>
      </c>
      <c r="BP252" s="199">
        <v>511</v>
      </c>
      <c r="BS252" s="211"/>
      <c r="BV252" s="514">
        <v>2499</v>
      </c>
      <c r="BX252" s="181">
        <v>15467</v>
      </c>
      <c r="BZ252" s="349"/>
      <c r="CB252" s="340"/>
      <c r="CC252" s="488">
        <v>21</v>
      </c>
      <c r="CD252" s="378"/>
      <c r="CE252" s="378"/>
      <c r="CF252" s="195"/>
      <c r="CG252" s="349"/>
      <c r="CI252" s="181">
        <v>5945</v>
      </c>
      <c r="CJ252" s="183">
        <v>0</v>
      </c>
      <c r="CK252" s="421">
        <v>7019.4972442892695</v>
      </c>
      <c r="CL252" s="494">
        <v>7360.2094162007234</v>
      </c>
      <c r="CM252" s="483">
        <v>2031.5241462815184</v>
      </c>
      <c r="CN252" s="483">
        <v>1891.7764747378606</v>
      </c>
      <c r="CO252" s="483">
        <v>1763.918242514505</v>
      </c>
      <c r="CP252" s="433">
        <f t="shared" si="3"/>
        <v>-977.49724428926947</v>
      </c>
      <c r="CQ252" s="212"/>
      <c r="CR252" s="212">
        <v>595</v>
      </c>
      <c r="CS252" s="212">
        <v>-676</v>
      </c>
      <c r="CT252" s="183">
        <v>0</v>
      </c>
      <c r="CU252" s="183">
        <v>323</v>
      </c>
      <c r="CV252" s="485">
        <v>34</v>
      </c>
      <c r="CX252" s="422"/>
      <c r="CY252" s="475"/>
      <c r="CZ252" s="450"/>
      <c r="DA252" s="394"/>
      <c r="DB252" s="394"/>
      <c r="DC252" s="347"/>
      <c r="DD252" s="394"/>
      <c r="DE252" s="394"/>
      <c r="DF252" s="394"/>
      <c r="DG252" s="394"/>
      <c r="DH252" s="394"/>
    </row>
    <row r="253" spans="1:112" x14ac:dyDescent="0.25">
      <c r="A253" s="179">
        <v>832</v>
      </c>
      <c r="B253" s="181" t="s">
        <v>277</v>
      </c>
      <c r="C253" s="373">
        <v>3976</v>
      </c>
      <c r="D253" s="360">
        <v>20.5</v>
      </c>
      <c r="E253" s="213"/>
      <c r="G253" s="363">
        <v>6152</v>
      </c>
      <c r="H253" s="363">
        <v>34278</v>
      </c>
      <c r="I253" s="349"/>
      <c r="J253" s="363">
        <v>9759</v>
      </c>
      <c r="K253" s="363">
        <v>1305</v>
      </c>
      <c r="L253" s="363">
        <v>915</v>
      </c>
      <c r="M253" s="363">
        <v>11979</v>
      </c>
      <c r="N253" s="363">
        <v>18059</v>
      </c>
      <c r="O253" s="363">
        <v>1</v>
      </c>
      <c r="P253" s="363">
        <v>43</v>
      </c>
      <c r="Q253" s="363">
        <v>77</v>
      </c>
      <c r="R253" s="363">
        <v>2</v>
      </c>
      <c r="S253" s="363">
        <v>1945</v>
      </c>
      <c r="U253" s="363">
        <v>2707</v>
      </c>
      <c r="V253" s="363">
        <v>0</v>
      </c>
      <c r="W253" s="363">
        <v>0</v>
      </c>
      <c r="X253" s="363">
        <v>-762</v>
      </c>
      <c r="Y253" s="363">
        <v>11</v>
      </c>
      <c r="Z253" s="363">
        <v>0</v>
      </c>
      <c r="AA253" s="363">
        <v>0</v>
      </c>
      <c r="AB253" s="363">
        <v>-751</v>
      </c>
      <c r="AD253" s="363">
        <v>9860</v>
      </c>
      <c r="AG253" s="363">
        <v>-3252</v>
      </c>
      <c r="AH253" s="349"/>
      <c r="AJ253" s="363">
        <v>2324</v>
      </c>
      <c r="AL253" s="363">
        <v>6504</v>
      </c>
      <c r="AN253" s="349"/>
      <c r="AO253" s="454">
        <v>3916</v>
      </c>
      <c r="AP253" s="478">
        <v>20.5</v>
      </c>
      <c r="AQ253" s="213"/>
      <c r="AS253" s="509">
        <v>5943</v>
      </c>
      <c r="AT253" s="349">
        <v>34782</v>
      </c>
      <c r="AU253" s="480">
        <v>-28839</v>
      </c>
      <c r="AV253" s="199">
        <v>10079</v>
      </c>
      <c r="AW253" s="199">
        <v>1561</v>
      </c>
      <c r="AX253" s="199">
        <v>843</v>
      </c>
      <c r="AY253" s="199">
        <v>12483</v>
      </c>
      <c r="AZ253" s="199">
        <v>20464</v>
      </c>
      <c r="BA253" s="181">
        <v>1</v>
      </c>
      <c r="BB253" s="511">
        <v>39</v>
      </c>
      <c r="BC253" s="181">
        <v>71</v>
      </c>
      <c r="BD253" s="181">
        <v>1</v>
      </c>
      <c r="BE253" s="199">
        <v>4140</v>
      </c>
      <c r="BG253" s="183">
        <v>2455</v>
      </c>
      <c r="BH253" s="199">
        <v>0</v>
      </c>
      <c r="BI253" s="199">
        <v>0</v>
      </c>
      <c r="BJ253" s="199">
        <v>1685</v>
      </c>
      <c r="BK253" s="199">
        <v>1</v>
      </c>
      <c r="BL253" s="183">
        <v>0</v>
      </c>
      <c r="BM253" s="183">
        <v>0</v>
      </c>
      <c r="BN253" s="199">
        <v>1686</v>
      </c>
      <c r="BP253" s="199">
        <v>11546</v>
      </c>
      <c r="BS253" s="211"/>
      <c r="BV253" s="514">
        <v>1430</v>
      </c>
      <c r="BX253" s="181">
        <v>5966</v>
      </c>
      <c r="BZ253" s="349"/>
      <c r="CB253" s="340"/>
      <c r="CC253" s="488">
        <v>20.5</v>
      </c>
      <c r="CD253" s="378"/>
      <c r="CE253" s="378"/>
      <c r="CF253" s="195"/>
      <c r="CG253" s="349"/>
      <c r="CI253" s="181">
        <v>16783</v>
      </c>
      <c r="CJ253" s="183">
        <v>0</v>
      </c>
      <c r="CK253" s="421">
        <v>19916.63168006979</v>
      </c>
      <c r="CL253" s="494">
        <v>20214.520595560727</v>
      </c>
      <c r="CM253" s="483">
        <v>9359.3240283526357</v>
      </c>
      <c r="CN253" s="483">
        <v>9412.3471651482814</v>
      </c>
      <c r="CO253" s="483">
        <v>9314.7419342589255</v>
      </c>
      <c r="CP253" s="433">
        <f t="shared" si="3"/>
        <v>-1857.6316800697896</v>
      </c>
      <c r="CQ253" s="212"/>
      <c r="CR253" s="212">
        <v>3</v>
      </c>
      <c r="CS253" s="212">
        <v>-4244</v>
      </c>
      <c r="CT253" s="183">
        <v>0</v>
      </c>
      <c r="CU253" s="183">
        <v>22</v>
      </c>
      <c r="CV253" s="485">
        <v>0</v>
      </c>
      <c r="CX253" s="422"/>
      <c r="CY253" s="475"/>
      <c r="CZ253" s="450"/>
      <c r="DA253" s="394"/>
      <c r="DB253" s="394"/>
      <c r="DC253" s="347"/>
      <c r="DD253" s="394"/>
      <c r="DE253" s="394"/>
      <c r="DF253" s="394"/>
      <c r="DG253" s="394"/>
      <c r="DH253" s="394"/>
    </row>
    <row r="254" spans="1:112" x14ac:dyDescent="0.25">
      <c r="A254" s="179">
        <v>833</v>
      </c>
      <c r="B254" s="181" t="s">
        <v>278</v>
      </c>
      <c r="C254" s="373">
        <v>1639</v>
      </c>
      <c r="D254" s="360">
        <v>20.75</v>
      </c>
      <c r="E254" s="213"/>
      <c r="G254" s="363">
        <v>1559</v>
      </c>
      <c r="H254" s="363">
        <v>11270</v>
      </c>
      <c r="I254" s="349"/>
      <c r="J254" s="363">
        <v>5100</v>
      </c>
      <c r="K254" s="363">
        <v>241</v>
      </c>
      <c r="L254" s="363">
        <v>1227</v>
      </c>
      <c r="M254" s="363">
        <v>6568</v>
      </c>
      <c r="N254" s="363">
        <v>4064</v>
      </c>
      <c r="O254" s="363">
        <v>3</v>
      </c>
      <c r="P254" s="363">
        <v>97</v>
      </c>
      <c r="Q254" s="363">
        <v>5</v>
      </c>
      <c r="R254" s="363">
        <v>1</v>
      </c>
      <c r="S254" s="363">
        <v>831</v>
      </c>
      <c r="U254" s="363">
        <v>456</v>
      </c>
      <c r="V254" s="363">
        <v>0</v>
      </c>
      <c r="W254" s="363">
        <v>0</v>
      </c>
      <c r="X254" s="363">
        <v>375</v>
      </c>
      <c r="Y254" s="363">
        <v>0</v>
      </c>
      <c r="Z254" s="363">
        <v>0</v>
      </c>
      <c r="AA254" s="363">
        <v>0</v>
      </c>
      <c r="AB254" s="363">
        <v>375</v>
      </c>
      <c r="AD254" s="363">
        <v>5882</v>
      </c>
      <c r="AG254" s="363">
        <v>-456</v>
      </c>
      <c r="AH254" s="349"/>
      <c r="AJ254" s="363">
        <v>3675</v>
      </c>
      <c r="AL254" s="363">
        <v>7822</v>
      </c>
      <c r="AN254" s="349"/>
      <c r="AO254" s="454">
        <v>1659</v>
      </c>
      <c r="AP254" s="478">
        <v>20.75</v>
      </c>
      <c r="AQ254" s="213"/>
      <c r="AS254" s="509">
        <v>1539</v>
      </c>
      <c r="AT254" s="349">
        <v>10977</v>
      </c>
      <c r="AU254" s="480">
        <v>-9438</v>
      </c>
      <c r="AV254" s="199">
        <v>5706</v>
      </c>
      <c r="AW254" s="199">
        <v>270</v>
      </c>
      <c r="AX254" s="199">
        <v>1115</v>
      </c>
      <c r="AY254" s="199">
        <v>7091</v>
      </c>
      <c r="AZ254" s="199">
        <v>4932</v>
      </c>
      <c r="BA254" s="181">
        <v>1</v>
      </c>
      <c r="BB254" s="511">
        <v>95</v>
      </c>
      <c r="BC254" s="181">
        <v>5</v>
      </c>
      <c r="BD254" s="181">
        <v>1</v>
      </c>
      <c r="BE254" s="199">
        <v>2495</v>
      </c>
      <c r="BG254" s="183">
        <v>471</v>
      </c>
      <c r="BH254" s="183">
        <v>0</v>
      </c>
      <c r="BI254" s="183">
        <v>0</v>
      </c>
      <c r="BJ254" s="199">
        <v>2024</v>
      </c>
      <c r="BK254" s="199">
        <v>0</v>
      </c>
      <c r="BL254" s="183">
        <v>0</v>
      </c>
      <c r="BM254" s="183">
        <v>0</v>
      </c>
      <c r="BN254" s="199">
        <v>2024</v>
      </c>
      <c r="BP254" s="199">
        <v>7906</v>
      </c>
      <c r="BS254" s="211"/>
      <c r="BV254" s="514">
        <v>5994</v>
      </c>
      <c r="BX254" s="181">
        <v>7622</v>
      </c>
      <c r="BZ254" s="349"/>
      <c r="CB254" s="340"/>
      <c r="CC254" s="488">
        <v>20.75</v>
      </c>
      <c r="CD254" s="378"/>
      <c r="CE254" s="378"/>
      <c r="CF254" s="195"/>
      <c r="CG254" s="349"/>
      <c r="CI254" s="181">
        <v>3431</v>
      </c>
      <c r="CJ254" s="183">
        <v>0</v>
      </c>
      <c r="CK254" s="421">
        <v>4570.5627774902168</v>
      </c>
      <c r="CL254" s="494">
        <v>4911.460393674326</v>
      </c>
      <c r="CM254" s="483">
        <v>1138.9703136877106</v>
      </c>
      <c r="CN254" s="483">
        <v>1081.3498672025471</v>
      </c>
      <c r="CO254" s="483">
        <v>1107.6445560025409</v>
      </c>
      <c r="CP254" s="433">
        <f t="shared" si="3"/>
        <v>-506.56277749021683</v>
      </c>
      <c r="CQ254" s="212"/>
      <c r="CR254" s="212">
        <v>-1</v>
      </c>
      <c r="CS254" s="212">
        <v>-702</v>
      </c>
      <c r="CT254" s="183">
        <v>325</v>
      </c>
      <c r="CU254" s="183">
        <v>1</v>
      </c>
      <c r="CV254" s="485">
        <v>-50</v>
      </c>
      <c r="CX254" s="422"/>
      <c r="CY254" s="475"/>
      <c r="CZ254" s="450"/>
      <c r="DA254" s="394"/>
      <c r="DB254" s="394"/>
      <c r="DC254" s="347"/>
      <c r="DD254" s="394"/>
      <c r="DE254" s="394"/>
      <c r="DF254" s="394"/>
      <c r="DG254" s="394"/>
      <c r="DH254" s="394"/>
    </row>
    <row r="255" spans="1:112" x14ac:dyDescent="0.25">
      <c r="A255" s="179">
        <v>834</v>
      </c>
      <c r="B255" s="181" t="s">
        <v>279</v>
      </c>
      <c r="C255" s="373">
        <v>6015</v>
      </c>
      <c r="D255" s="360">
        <v>20.25</v>
      </c>
      <c r="E255" s="213"/>
      <c r="G255" s="363">
        <v>4297</v>
      </c>
      <c r="H255" s="363">
        <v>38459</v>
      </c>
      <c r="I255" s="349"/>
      <c r="J255" s="363">
        <v>18880</v>
      </c>
      <c r="K255" s="363">
        <v>1282</v>
      </c>
      <c r="L255" s="363">
        <v>1609</v>
      </c>
      <c r="M255" s="363">
        <v>21771</v>
      </c>
      <c r="N255" s="363">
        <v>11795</v>
      </c>
      <c r="O255" s="363">
        <v>2</v>
      </c>
      <c r="P255" s="363">
        <v>43</v>
      </c>
      <c r="Q255" s="363">
        <v>31</v>
      </c>
      <c r="R255" s="363">
        <v>0</v>
      </c>
      <c r="S255" s="363">
        <v>-606</v>
      </c>
      <c r="U255" s="363">
        <v>2133</v>
      </c>
      <c r="V255" s="363">
        <v>0</v>
      </c>
      <c r="W255" s="363">
        <v>0</v>
      </c>
      <c r="X255" s="363">
        <v>-2739</v>
      </c>
      <c r="Y255" s="363">
        <v>627</v>
      </c>
      <c r="Z255" s="363">
        <v>0</v>
      </c>
      <c r="AA255" s="363">
        <v>0</v>
      </c>
      <c r="AB255" s="363">
        <v>-2112</v>
      </c>
      <c r="AD255" s="363">
        <v>5292</v>
      </c>
      <c r="AG255" s="363">
        <v>-1494</v>
      </c>
      <c r="AH255" s="349"/>
      <c r="AJ255" s="363">
        <v>687</v>
      </c>
      <c r="AL255" s="363">
        <v>10256</v>
      </c>
      <c r="AN255" s="349"/>
      <c r="AO255" s="454">
        <v>6016</v>
      </c>
      <c r="AP255" s="478">
        <v>20.75</v>
      </c>
      <c r="AQ255" s="213"/>
      <c r="AS255" s="509">
        <v>4135</v>
      </c>
      <c r="AT255" s="349">
        <v>37460</v>
      </c>
      <c r="AU255" s="480">
        <v>-33325</v>
      </c>
      <c r="AV255" s="199">
        <v>19944</v>
      </c>
      <c r="AW255" s="199">
        <v>1444</v>
      </c>
      <c r="AX255" s="199">
        <v>1407</v>
      </c>
      <c r="AY255" s="199">
        <v>22795</v>
      </c>
      <c r="AZ255" s="199">
        <v>13772</v>
      </c>
      <c r="BA255" s="181">
        <v>5</v>
      </c>
      <c r="BB255" s="511">
        <v>43</v>
      </c>
      <c r="BC255" s="181">
        <v>26</v>
      </c>
      <c r="BD255" s="181">
        <v>0</v>
      </c>
      <c r="BE255" s="199">
        <v>3230</v>
      </c>
      <c r="BG255" s="183">
        <v>2063</v>
      </c>
      <c r="BH255" s="183">
        <v>0</v>
      </c>
      <c r="BI255" s="183">
        <v>0</v>
      </c>
      <c r="BJ255" s="199">
        <v>1167</v>
      </c>
      <c r="BK255" s="199">
        <v>92</v>
      </c>
      <c r="BL255" s="199">
        <v>0</v>
      </c>
      <c r="BM255" s="183">
        <v>0</v>
      </c>
      <c r="BN255" s="199">
        <v>1259</v>
      </c>
      <c r="BP255" s="199">
        <v>6550</v>
      </c>
      <c r="BS255" s="211"/>
      <c r="BV255" s="514">
        <v>1700</v>
      </c>
      <c r="BX255" s="181">
        <v>9399</v>
      </c>
      <c r="BZ255" s="349"/>
      <c r="CB255" s="340"/>
      <c r="CC255" s="488">
        <v>20.75</v>
      </c>
      <c r="CD255" s="378"/>
      <c r="CE255" s="378"/>
      <c r="CF255" s="195"/>
      <c r="CG255" s="349"/>
      <c r="CI255" s="181">
        <v>11179</v>
      </c>
      <c r="CJ255" s="183">
        <v>0</v>
      </c>
      <c r="CK255" s="421">
        <v>12864.551493626781</v>
      </c>
      <c r="CL255" s="494">
        <v>13466.099884321893</v>
      </c>
      <c r="CM255" s="483">
        <v>3692.8777963741913</v>
      </c>
      <c r="CN255" s="483">
        <v>3031.0022950618513</v>
      </c>
      <c r="CO255" s="483">
        <v>2692.2603620396058</v>
      </c>
      <c r="CP255" s="433">
        <f t="shared" si="3"/>
        <v>-1069.5514936267809</v>
      </c>
      <c r="CQ255" s="212"/>
      <c r="CR255" s="212">
        <v>4</v>
      </c>
      <c r="CS255" s="212">
        <v>-957</v>
      </c>
      <c r="CT255" s="183">
        <v>10</v>
      </c>
      <c r="CU255" s="183">
        <v>27</v>
      </c>
      <c r="CV255" s="485">
        <v>0</v>
      </c>
      <c r="CX255" s="422"/>
      <c r="CY255" s="475"/>
      <c r="CZ255" s="450"/>
      <c r="DA255" s="394"/>
      <c r="DB255" s="394"/>
      <c r="DC255" s="347"/>
      <c r="DD255" s="394"/>
      <c r="DE255" s="394"/>
      <c r="DF255" s="394"/>
      <c r="DG255" s="394"/>
      <c r="DH255" s="394"/>
    </row>
    <row r="256" spans="1:112" x14ac:dyDescent="0.25">
      <c r="A256" s="179">
        <v>837</v>
      </c>
      <c r="B256" s="181" t="s">
        <v>280</v>
      </c>
      <c r="C256" s="373">
        <v>238140</v>
      </c>
      <c r="D256" s="360">
        <v>19.75</v>
      </c>
      <c r="E256" s="213"/>
      <c r="G256" s="363">
        <v>491975</v>
      </c>
      <c r="H256" s="363">
        <v>1703852</v>
      </c>
      <c r="I256" s="349"/>
      <c r="J256" s="363">
        <v>808932</v>
      </c>
      <c r="K256" s="363">
        <v>77280</v>
      </c>
      <c r="L256" s="363">
        <v>88362</v>
      </c>
      <c r="M256" s="363">
        <v>974574</v>
      </c>
      <c r="N256" s="363">
        <v>301980</v>
      </c>
      <c r="O256" s="363">
        <v>5588</v>
      </c>
      <c r="P256" s="363">
        <v>12490</v>
      </c>
      <c r="Q256" s="363">
        <v>33015</v>
      </c>
      <c r="R256" s="363">
        <v>440</v>
      </c>
      <c r="S256" s="363">
        <v>90350</v>
      </c>
      <c r="U256" s="363">
        <v>111513</v>
      </c>
      <c r="V256" s="363">
        <v>1028</v>
      </c>
      <c r="W256" s="363">
        <v>0</v>
      </c>
      <c r="X256" s="363">
        <v>-20135</v>
      </c>
      <c r="Y256" s="363">
        <v>1905</v>
      </c>
      <c r="Z256" s="363">
        <v>0</v>
      </c>
      <c r="AA256" s="363">
        <v>225</v>
      </c>
      <c r="AB256" s="363">
        <v>-18005</v>
      </c>
      <c r="AD256" s="363">
        <v>451494</v>
      </c>
      <c r="AG256" s="363">
        <v>-120358</v>
      </c>
      <c r="AH256" s="349"/>
      <c r="AJ256" s="363">
        <v>190774</v>
      </c>
      <c r="AL256" s="363">
        <v>794832</v>
      </c>
      <c r="AN256" s="349"/>
      <c r="AO256" s="454">
        <v>241009</v>
      </c>
      <c r="AP256" s="478">
        <v>20.25</v>
      </c>
      <c r="AQ256" s="213"/>
      <c r="AS256" s="509">
        <v>457362</v>
      </c>
      <c r="AT256" s="349">
        <v>1743272</v>
      </c>
      <c r="AU256" s="480">
        <v>-1285910</v>
      </c>
      <c r="AV256" s="199">
        <v>866872</v>
      </c>
      <c r="AW256" s="199">
        <v>85333</v>
      </c>
      <c r="AX256" s="199">
        <v>83117</v>
      </c>
      <c r="AY256" s="199">
        <v>1035322</v>
      </c>
      <c r="AZ256" s="199">
        <v>394568</v>
      </c>
      <c r="BA256" s="181">
        <v>6238</v>
      </c>
      <c r="BB256" s="511">
        <v>15341</v>
      </c>
      <c r="BC256" s="181">
        <v>35859</v>
      </c>
      <c r="BD256" s="181">
        <v>1294</v>
      </c>
      <c r="BE256" s="199">
        <v>169442</v>
      </c>
      <c r="BG256" s="183">
        <v>105867</v>
      </c>
      <c r="BH256" s="183">
        <v>264</v>
      </c>
      <c r="BI256" s="183">
        <v>0</v>
      </c>
      <c r="BJ256" s="199">
        <v>63839</v>
      </c>
      <c r="BK256" s="199">
        <v>1711</v>
      </c>
      <c r="BL256" s="199">
        <v>0</v>
      </c>
      <c r="BM256" s="183">
        <v>260</v>
      </c>
      <c r="BN256" s="199">
        <v>65810</v>
      </c>
      <c r="BP256" s="199">
        <v>517303</v>
      </c>
      <c r="BS256" s="211"/>
      <c r="BV256" s="514">
        <v>312958</v>
      </c>
      <c r="BX256" s="181">
        <v>914729</v>
      </c>
      <c r="BZ256" s="349"/>
      <c r="CB256" s="340"/>
      <c r="CC256" s="488">
        <v>20.25</v>
      </c>
      <c r="CD256" s="378"/>
      <c r="CE256" s="378"/>
      <c r="CF256" s="195"/>
      <c r="CG256" s="349"/>
      <c r="CI256" s="181">
        <v>210618</v>
      </c>
      <c r="CJ256" s="183">
        <v>0</v>
      </c>
      <c r="CK256" s="421">
        <v>354450.38947292633</v>
      </c>
      <c r="CL256" s="494">
        <v>373791.52942104719</v>
      </c>
      <c r="CM256" s="483">
        <v>-124.76847350402386</v>
      </c>
      <c r="CN256" s="483">
        <v>15214.303029181232</v>
      </c>
      <c r="CO256" s="483">
        <v>27444.15722659634</v>
      </c>
      <c r="CP256" s="433">
        <f t="shared" si="3"/>
        <v>-52470.389472926327</v>
      </c>
      <c r="CQ256" s="212"/>
      <c r="CR256" s="212">
        <v>-17371</v>
      </c>
      <c r="CS256" s="212">
        <v>-229872</v>
      </c>
      <c r="CT256" s="183">
        <v>7264</v>
      </c>
      <c r="CU256" s="183">
        <v>45381</v>
      </c>
      <c r="CV256" s="485">
        <v>-14696</v>
      </c>
      <c r="CX256" s="422"/>
      <c r="CY256" s="475"/>
      <c r="CZ256" s="450"/>
      <c r="DA256" s="394"/>
      <c r="DB256" s="394"/>
      <c r="DC256" s="347"/>
      <c r="DD256" s="394"/>
      <c r="DE256" s="394"/>
      <c r="DF256" s="394"/>
      <c r="DG256" s="394"/>
      <c r="DH256" s="394"/>
    </row>
    <row r="257" spans="1:112" x14ac:dyDescent="0.25">
      <c r="A257" s="179">
        <v>844</v>
      </c>
      <c r="B257" s="181" t="s">
        <v>281</v>
      </c>
      <c r="C257" s="373">
        <v>1520</v>
      </c>
      <c r="D257" s="360">
        <v>20.75</v>
      </c>
      <c r="E257" s="213"/>
      <c r="G257" s="363">
        <v>3326</v>
      </c>
      <c r="H257" s="363">
        <v>15110</v>
      </c>
      <c r="I257" s="349"/>
      <c r="J257" s="363">
        <v>3499</v>
      </c>
      <c r="K257" s="363">
        <v>471</v>
      </c>
      <c r="L257" s="363">
        <v>434</v>
      </c>
      <c r="M257" s="363">
        <v>4404</v>
      </c>
      <c r="N257" s="363">
        <v>6618</v>
      </c>
      <c r="O257" s="363">
        <v>8</v>
      </c>
      <c r="P257" s="363">
        <v>36</v>
      </c>
      <c r="Q257" s="363">
        <v>290</v>
      </c>
      <c r="R257" s="363">
        <v>8</v>
      </c>
      <c r="S257" s="363">
        <v>-508</v>
      </c>
      <c r="U257" s="363">
        <v>261</v>
      </c>
      <c r="V257" s="363">
        <v>0</v>
      </c>
      <c r="W257" s="363">
        <v>0</v>
      </c>
      <c r="X257" s="363">
        <v>-769</v>
      </c>
      <c r="Y257" s="363">
        <v>8</v>
      </c>
      <c r="Z257" s="363">
        <v>0</v>
      </c>
      <c r="AA257" s="363">
        <v>55</v>
      </c>
      <c r="AB257" s="363">
        <v>-706</v>
      </c>
      <c r="AD257" s="363">
        <v>623</v>
      </c>
      <c r="AG257" s="363">
        <v>237</v>
      </c>
      <c r="AH257" s="349"/>
      <c r="AJ257" s="363">
        <v>3039</v>
      </c>
      <c r="AL257" s="363">
        <v>5543</v>
      </c>
      <c r="AN257" s="349"/>
      <c r="AO257" s="454">
        <v>1503</v>
      </c>
      <c r="AP257" s="478">
        <v>21.5</v>
      </c>
      <c r="AQ257" s="213"/>
      <c r="AS257" s="509">
        <v>2877</v>
      </c>
      <c r="AT257" s="349">
        <v>15028</v>
      </c>
      <c r="AU257" s="480">
        <v>-12151</v>
      </c>
      <c r="AV257" s="199">
        <v>3794</v>
      </c>
      <c r="AW257" s="199">
        <v>545</v>
      </c>
      <c r="AX257" s="199">
        <v>477</v>
      </c>
      <c r="AY257" s="199">
        <v>4816</v>
      </c>
      <c r="AZ257" s="199">
        <v>7379</v>
      </c>
      <c r="BA257" s="181">
        <v>7</v>
      </c>
      <c r="BB257" s="511">
        <v>28</v>
      </c>
      <c r="BC257" s="181">
        <v>233</v>
      </c>
      <c r="BD257" s="181">
        <v>13</v>
      </c>
      <c r="BE257" s="199">
        <v>243</v>
      </c>
      <c r="BG257" s="183">
        <v>312</v>
      </c>
      <c r="BH257" s="199">
        <v>0</v>
      </c>
      <c r="BI257" s="183">
        <v>0</v>
      </c>
      <c r="BJ257" s="199">
        <v>-69</v>
      </c>
      <c r="BK257" s="199">
        <v>8</v>
      </c>
      <c r="BL257" s="199">
        <v>0</v>
      </c>
      <c r="BM257" s="199">
        <v>0</v>
      </c>
      <c r="BN257" s="199">
        <v>-61</v>
      </c>
      <c r="BP257" s="199">
        <v>562</v>
      </c>
      <c r="BS257" s="211"/>
      <c r="BV257" s="514">
        <v>3292</v>
      </c>
      <c r="BX257" s="181">
        <v>5829</v>
      </c>
      <c r="BZ257" s="349"/>
      <c r="CB257" s="340"/>
      <c r="CC257" s="488">
        <v>21.5</v>
      </c>
      <c r="CD257" s="378"/>
      <c r="CE257" s="378"/>
      <c r="CF257" s="195"/>
      <c r="CG257" s="349"/>
      <c r="CI257" s="181">
        <v>4993</v>
      </c>
      <c r="CJ257" s="183">
        <v>0</v>
      </c>
      <c r="CK257" s="421">
        <v>6727.8657466738405</v>
      </c>
      <c r="CL257" s="494">
        <v>6642.7532624610949</v>
      </c>
      <c r="CM257" s="483">
        <v>600.25562632793662</v>
      </c>
      <c r="CN257" s="483">
        <v>610.11943601397866</v>
      </c>
      <c r="CO257" s="483">
        <v>608.18653548857355</v>
      </c>
      <c r="CP257" s="433">
        <f t="shared" si="3"/>
        <v>-109.86574667384048</v>
      </c>
      <c r="CQ257" s="212"/>
      <c r="CR257" s="212">
        <v>31</v>
      </c>
      <c r="CS257" s="212">
        <v>-767</v>
      </c>
      <c r="CT257" s="183">
        <v>95</v>
      </c>
      <c r="CU257" s="183">
        <v>35</v>
      </c>
      <c r="CV257" s="485">
        <v>30</v>
      </c>
      <c r="CX257" s="422"/>
      <c r="CY257" s="475"/>
      <c r="CZ257" s="450"/>
      <c r="DA257" s="394"/>
      <c r="DB257" s="394"/>
      <c r="DC257" s="347"/>
      <c r="DD257" s="394"/>
      <c r="DE257" s="394"/>
      <c r="DF257" s="394"/>
      <c r="DG257" s="394"/>
      <c r="DH257" s="394"/>
    </row>
    <row r="258" spans="1:112" x14ac:dyDescent="0.25">
      <c r="A258" s="179">
        <v>845</v>
      </c>
      <c r="B258" s="181" t="s">
        <v>282</v>
      </c>
      <c r="C258" s="373">
        <v>3001</v>
      </c>
      <c r="D258" s="360">
        <v>19.5</v>
      </c>
      <c r="E258" s="213"/>
      <c r="G258" s="363">
        <v>3619</v>
      </c>
      <c r="H258" s="363">
        <v>24860</v>
      </c>
      <c r="I258" s="349"/>
      <c r="J258" s="363">
        <v>7948</v>
      </c>
      <c r="K258" s="363">
        <v>486</v>
      </c>
      <c r="L258" s="363">
        <v>2795</v>
      </c>
      <c r="M258" s="363">
        <v>11229</v>
      </c>
      <c r="N258" s="363">
        <v>10059</v>
      </c>
      <c r="O258" s="363">
        <v>14</v>
      </c>
      <c r="P258" s="363">
        <v>28</v>
      </c>
      <c r="Q258" s="363">
        <v>448</v>
      </c>
      <c r="R258" s="363">
        <v>112</v>
      </c>
      <c r="S258" s="363">
        <v>369</v>
      </c>
      <c r="U258" s="363">
        <v>1325</v>
      </c>
      <c r="V258" s="363">
        <v>0</v>
      </c>
      <c r="W258" s="363">
        <v>0</v>
      </c>
      <c r="X258" s="363">
        <v>-956</v>
      </c>
      <c r="Y258" s="363">
        <v>-715</v>
      </c>
      <c r="Z258" s="363">
        <v>2000</v>
      </c>
      <c r="AA258" s="363">
        <v>0</v>
      </c>
      <c r="AB258" s="363">
        <v>329</v>
      </c>
      <c r="AD258" s="363">
        <v>14017</v>
      </c>
      <c r="AG258" s="363">
        <v>-1077</v>
      </c>
      <c r="AH258" s="349"/>
      <c r="AJ258" s="363">
        <v>7374</v>
      </c>
      <c r="AL258" s="363">
        <v>2943</v>
      </c>
      <c r="AN258" s="349"/>
      <c r="AO258" s="454">
        <v>2925</v>
      </c>
      <c r="AP258" s="478">
        <v>20</v>
      </c>
      <c r="AQ258" s="213"/>
      <c r="AS258" s="509">
        <v>3174</v>
      </c>
      <c r="AT258" s="349">
        <v>24844</v>
      </c>
      <c r="AU258" s="480">
        <v>-21670</v>
      </c>
      <c r="AV258" s="199">
        <v>8476</v>
      </c>
      <c r="AW258" s="199">
        <v>558</v>
      </c>
      <c r="AX258" s="199">
        <v>2502</v>
      </c>
      <c r="AY258" s="199">
        <v>11536</v>
      </c>
      <c r="AZ258" s="199">
        <v>11739</v>
      </c>
      <c r="BA258" s="181">
        <v>22</v>
      </c>
      <c r="BB258" s="511">
        <v>27</v>
      </c>
      <c r="BC258" s="181">
        <v>331</v>
      </c>
      <c r="BD258" s="181">
        <v>158</v>
      </c>
      <c r="BE258" s="199">
        <v>1773</v>
      </c>
      <c r="BG258" s="183">
        <v>1151</v>
      </c>
      <c r="BH258" s="199">
        <v>0</v>
      </c>
      <c r="BI258" s="183">
        <v>0</v>
      </c>
      <c r="BJ258" s="199">
        <v>622</v>
      </c>
      <c r="BK258" s="199">
        <v>-318</v>
      </c>
      <c r="BL258" s="199">
        <v>500</v>
      </c>
      <c r="BM258" s="183">
        <v>0</v>
      </c>
      <c r="BN258" s="199">
        <v>804</v>
      </c>
      <c r="BP258" s="199">
        <v>14821</v>
      </c>
      <c r="BS258" s="211"/>
      <c r="BV258" s="514">
        <v>7831</v>
      </c>
      <c r="BX258" s="181">
        <v>2882</v>
      </c>
      <c r="BZ258" s="349"/>
      <c r="CB258" s="340"/>
      <c r="CC258" s="488">
        <v>20</v>
      </c>
      <c r="CD258" s="378"/>
      <c r="CE258" s="378"/>
      <c r="CF258" s="195"/>
      <c r="CG258" s="349"/>
      <c r="CI258" s="181">
        <v>10609</v>
      </c>
      <c r="CJ258" s="183">
        <v>0</v>
      </c>
      <c r="CK258" s="421">
        <v>11430.929291200599</v>
      </c>
      <c r="CL258" s="494">
        <v>11845.344562983431</v>
      </c>
      <c r="CM258" s="483">
        <v>4954.7076476849343</v>
      </c>
      <c r="CN258" s="483">
        <v>5029.52779619586</v>
      </c>
      <c r="CO258" s="483">
        <v>5000.1029814732847</v>
      </c>
      <c r="CP258" s="433">
        <f t="shared" si="3"/>
        <v>-1371.9292912005985</v>
      </c>
      <c r="CQ258" s="212"/>
      <c r="CR258" s="212">
        <v>0</v>
      </c>
      <c r="CS258" s="212">
        <v>-972</v>
      </c>
      <c r="CT258" s="183">
        <v>0</v>
      </c>
      <c r="CU258" s="183">
        <v>0</v>
      </c>
      <c r="CV258" s="485">
        <v>-525</v>
      </c>
      <c r="CX258" s="422"/>
      <c r="CY258" s="475"/>
      <c r="CZ258" s="450"/>
      <c r="DA258" s="394"/>
      <c r="DB258" s="394"/>
      <c r="DC258" s="347"/>
      <c r="DD258" s="394"/>
      <c r="DE258" s="394"/>
      <c r="DF258" s="394"/>
      <c r="DG258" s="394"/>
      <c r="DH258" s="394"/>
    </row>
    <row r="259" spans="1:112" x14ac:dyDescent="0.25">
      <c r="A259" s="179">
        <v>846</v>
      </c>
      <c r="B259" s="181" t="s">
        <v>283</v>
      </c>
      <c r="C259" s="373">
        <v>5076</v>
      </c>
      <c r="D259" s="360">
        <v>22.5</v>
      </c>
      <c r="E259" s="213"/>
      <c r="G259" s="363">
        <v>4037</v>
      </c>
      <c r="H259" s="363">
        <v>36937</v>
      </c>
      <c r="I259" s="349"/>
      <c r="J259" s="363">
        <v>14564</v>
      </c>
      <c r="K259" s="363">
        <v>923</v>
      </c>
      <c r="L259" s="363">
        <v>1104</v>
      </c>
      <c r="M259" s="363">
        <v>16591</v>
      </c>
      <c r="N259" s="363">
        <v>18471</v>
      </c>
      <c r="O259" s="363">
        <v>40</v>
      </c>
      <c r="P259" s="363">
        <v>187</v>
      </c>
      <c r="Q259" s="363">
        <v>74</v>
      </c>
      <c r="R259" s="363">
        <v>2</v>
      </c>
      <c r="S259" s="363">
        <v>2087</v>
      </c>
      <c r="U259" s="363">
        <v>1494</v>
      </c>
      <c r="V259" s="363">
        <v>0</v>
      </c>
      <c r="W259" s="363">
        <v>0</v>
      </c>
      <c r="X259" s="363">
        <v>593</v>
      </c>
      <c r="Y259" s="363">
        <v>0</v>
      </c>
      <c r="Z259" s="363">
        <v>0</v>
      </c>
      <c r="AA259" s="363">
        <v>0</v>
      </c>
      <c r="AB259" s="363">
        <v>593</v>
      </c>
      <c r="AD259" s="363">
        <v>-4689</v>
      </c>
      <c r="AG259" s="363">
        <v>-29</v>
      </c>
      <c r="AH259" s="349"/>
      <c r="AJ259" s="363">
        <v>1141</v>
      </c>
      <c r="AL259" s="363">
        <v>21787</v>
      </c>
      <c r="AN259" s="349"/>
      <c r="AO259" s="454">
        <v>4994</v>
      </c>
      <c r="AP259" s="478">
        <v>22.5</v>
      </c>
      <c r="AQ259" s="213"/>
      <c r="AS259" s="509">
        <v>4108</v>
      </c>
      <c r="AT259" s="349">
        <v>36058</v>
      </c>
      <c r="AU259" s="480">
        <v>-31950</v>
      </c>
      <c r="AV259" s="199">
        <v>14830</v>
      </c>
      <c r="AW259" s="199">
        <v>978</v>
      </c>
      <c r="AX259" s="199">
        <v>1002</v>
      </c>
      <c r="AY259" s="199">
        <v>16810</v>
      </c>
      <c r="AZ259" s="199">
        <v>19720</v>
      </c>
      <c r="BA259" s="181">
        <v>37</v>
      </c>
      <c r="BB259" s="511">
        <v>172</v>
      </c>
      <c r="BC259" s="181">
        <v>71</v>
      </c>
      <c r="BD259" s="181">
        <v>2</v>
      </c>
      <c r="BE259" s="199">
        <v>4514</v>
      </c>
      <c r="BG259" s="183">
        <v>1370</v>
      </c>
      <c r="BH259" s="183">
        <v>0</v>
      </c>
      <c r="BI259" s="183">
        <v>0</v>
      </c>
      <c r="BJ259" s="199">
        <v>3144</v>
      </c>
      <c r="BK259" s="199">
        <v>0</v>
      </c>
      <c r="BL259" s="183">
        <v>0</v>
      </c>
      <c r="BM259" s="183">
        <v>0</v>
      </c>
      <c r="BN259" s="199">
        <v>3144</v>
      </c>
      <c r="BP259" s="199">
        <v>-1545</v>
      </c>
      <c r="BS259" s="211"/>
      <c r="BV259" s="514">
        <v>1015</v>
      </c>
      <c r="BX259" s="181">
        <v>18469</v>
      </c>
      <c r="BZ259" s="349"/>
      <c r="CB259" s="340"/>
      <c r="CC259" s="488">
        <v>22.5</v>
      </c>
      <c r="CD259" s="378"/>
      <c r="CE259" s="378"/>
      <c r="CF259" s="195"/>
      <c r="CG259" s="349"/>
      <c r="CH259" s="347"/>
      <c r="CI259" s="181">
        <v>15552</v>
      </c>
      <c r="CJ259" s="183">
        <v>0</v>
      </c>
      <c r="CK259" s="421">
        <v>18925.479113652782</v>
      </c>
      <c r="CL259" s="494">
        <v>20563.185046742426</v>
      </c>
      <c r="CM259" s="483">
        <v>3859.7252027178229</v>
      </c>
      <c r="CN259" s="483">
        <v>3810.6763328725856</v>
      </c>
      <c r="CO259" s="483">
        <v>3817.876516307846</v>
      </c>
      <c r="CP259" s="433">
        <f t="shared" ref="CP259:CP296" si="4">N259-CK259</f>
        <v>-454.47911365278196</v>
      </c>
      <c r="CQ259" s="212"/>
      <c r="CR259" s="212">
        <v>-52</v>
      </c>
      <c r="CS259" s="212">
        <v>-954</v>
      </c>
      <c r="CT259" s="183">
        <v>0</v>
      </c>
      <c r="CU259" s="183">
        <v>110</v>
      </c>
      <c r="CV259" s="485">
        <v>112</v>
      </c>
      <c r="CX259" s="422"/>
      <c r="CY259" s="475"/>
      <c r="CZ259" s="450"/>
      <c r="DA259" s="394"/>
      <c r="DB259" s="394"/>
      <c r="DC259" s="347"/>
      <c r="DD259" s="394"/>
      <c r="DE259" s="394"/>
      <c r="DF259" s="394"/>
      <c r="DG259" s="394"/>
      <c r="DH259" s="394"/>
    </row>
    <row r="260" spans="1:112" x14ac:dyDescent="0.25">
      <c r="A260" s="179">
        <v>848</v>
      </c>
      <c r="B260" s="181" t="s">
        <v>284</v>
      </c>
      <c r="C260" s="373">
        <v>4361</v>
      </c>
      <c r="D260" s="360">
        <v>21.75</v>
      </c>
      <c r="E260" s="213"/>
      <c r="G260" s="363">
        <v>6857</v>
      </c>
      <c r="H260" s="363">
        <v>37304</v>
      </c>
      <c r="I260" s="349"/>
      <c r="J260" s="363">
        <v>11669</v>
      </c>
      <c r="K260" s="363">
        <v>980</v>
      </c>
      <c r="L260" s="363">
        <v>942</v>
      </c>
      <c r="M260" s="363">
        <v>13591</v>
      </c>
      <c r="N260" s="363">
        <v>16962</v>
      </c>
      <c r="O260" s="363">
        <v>87</v>
      </c>
      <c r="P260" s="363">
        <v>41</v>
      </c>
      <c r="Q260" s="363">
        <v>133</v>
      </c>
      <c r="R260" s="363">
        <v>3</v>
      </c>
      <c r="S260" s="363">
        <v>282</v>
      </c>
      <c r="U260" s="363">
        <v>959</v>
      </c>
      <c r="V260" s="363">
        <v>0</v>
      </c>
      <c r="W260" s="363">
        <v>0</v>
      </c>
      <c r="X260" s="363">
        <v>-677</v>
      </c>
      <c r="Y260" s="363">
        <v>5</v>
      </c>
      <c r="Z260" s="363">
        <v>0</v>
      </c>
      <c r="AA260" s="363">
        <v>0</v>
      </c>
      <c r="AB260" s="363">
        <v>-672</v>
      </c>
      <c r="AD260" s="363">
        <v>1755</v>
      </c>
      <c r="AG260" s="363">
        <v>-2718</v>
      </c>
      <c r="AH260" s="349"/>
      <c r="AJ260" s="363">
        <v>46</v>
      </c>
      <c r="AL260" s="363">
        <v>10033</v>
      </c>
      <c r="AN260" s="349"/>
      <c r="AO260" s="454">
        <v>4307</v>
      </c>
      <c r="AP260" s="478">
        <v>21.75</v>
      </c>
      <c r="AQ260" s="213"/>
      <c r="AS260" s="509">
        <v>7001</v>
      </c>
      <c r="AT260" s="349">
        <v>37759</v>
      </c>
      <c r="AU260" s="480">
        <v>-30758</v>
      </c>
      <c r="AV260" s="199">
        <v>11561</v>
      </c>
      <c r="AW260" s="199">
        <v>1103</v>
      </c>
      <c r="AX260" s="199">
        <v>878</v>
      </c>
      <c r="AY260" s="199">
        <v>13542</v>
      </c>
      <c r="AZ260" s="199">
        <v>18760</v>
      </c>
      <c r="BA260" s="181">
        <v>87</v>
      </c>
      <c r="BB260" s="511">
        <v>41</v>
      </c>
      <c r="BC260" s="181">
        <v>125</v>
      </c>
      <c r="BD260" s="181">
        <v>3</v>
      </c>
      <c r="BE260" s="199">
        <v>1712</v>
      </c>
      <c r="BG260" s="183">
        <v>1568</v>
      </c>
      <c r="BH260" s="183">
        <v>0</v>
      </c>
      <c r="BI260" s="183">
        <v>0</v>
      </c>
      <c r="BJ260" s="199">
        <v>144</v>
      </c>
      <c r="BK260" s="199">
        <v>5</v>
      </c>
      <c r="BL260" s="183">
        <v>0</v>
      </c>
      <c r="BM260" s="183">
        <v>0</v>
      </c>
      <c r="BN260" s="199">
        <v>149</v>
      </c>
      <c r="BP260" s="199">
        <v>1903</v>
      </c>
      <c r="BS260" s="211"/>
      <c r="BV260" s="514">
        <v>3</v>
      </c>
      <c r="BX260" s="181">
        <v>9252</v>
      </c>
      <c r="BZ260" s="349"/>
      <c r="CB260" s="340"/>
      <c r="CC260" s="488">
        <v>21.75</v>
      </c>
      <c r="CD260" s="378"/>
      <c r="CE260" s="378"/>
      <c r="CF260" s="195"/>
      <c r="CG260" s="349"/>
      <c r="CH260" s="347"/>
      <c r="CI260" s="181">
        <v>14210</v>
      </c>
      <c r="CJ260" s="183">
        <v>0</v>
      </c>
      <c r="CK260" s="421">
        <v>17988.128364838387</v>
      </c>
      <c r="CL260" s="494">
        <v>18527.853074276911</v>
      </c>
      <c r="CM260" s="483">
        <v>5340.6467870221577</v>
      </c>
      <c r="CN260" s="483">
        <v>5349.0397930514091</v>
      </c>
      <c r="CO260" s="483">
        <v>5409.8452784670808</v>
      </c>
      <c r="CP260" s="433">
        <f t="shared" si="4"/>
        <v>-1026.1283648383869</v>
      </c>
      <c r="CQ260" s="212"/>
      <c r="CR260" s="212">
        <v>262</v>
      </c>
      <c r="CS260" s="212">
        <v>-2518</v>
      </c>
      <c r="CT260" s="183">
        <v>171</v>
      </c>
      <c r="CU260" s="183">
        <v>177</v>
      </c>
      <c r="CV260" s="485">
        <v>50</v>
      </c>
      <c r="CX260" s="422"/>
      <c r="CY260" s="475"/>
      <c r="CZ260" s="450"/>
      <c r="DA260" s="394"/>
      <c r="DB260" s="394"/>
      <c r="DC260" s="347"/>
      <c r="DD260" s="394"/>
      <c r="DE260" s="394"/>
      <c r="DF260" s="394"/>
      <c r="DG260" s="394"/>
      <c r="DH260" s="394"/>
    </row>
    <row r="261" spans="1:112" x14ac:dyDescent="0.25">
      <c r="A261" s="179">
        <v>849</v>
      </c>
      <c r="B261" s="181" t="s">
        <v>285</v>
      </c>
      <c r="C261" s="373">
        <v>3033</v>
      </c>
      <c r="D261" s="360">
        <v>21.75</v>
      </c>
      <c r="E261" s="213"/>
      <c r="G261" s="363">
        <v>8464</v>
      </c>
      <c r="H261" s="363">
        <v>27801</v>
      </c>
      <c r="I261" s="349"/>
      <c r="J261" s="363">
        <v>7962</v>
      </c>
      <c r="K261" s="363">
        <v>594</v>
      </c>
      <c r="L261" s="363">
        <v>760</v>
      </c>
      <c r="M261" s="363">
        <v>9316</v>
      </c>
      <c r="N261" s="363">
        <v>10347</v>
      </c>
      <c r="O261" s="363">
        <v>26</v>
      </c>
      <c r="P261" s="363">
        <v>148</v>
      </c>
      <c r="Q261" s="363">
        <v>20</v>
      </c>
      <c r="R261" s="363">
        <v>10</v>
      </c>
      <c r="S261" s="363">
        <v>214</v>
      </c>
      <c r="U261" s="363">
        <v>965</v>
      </c>
      <c r="V261" s="363">
        <v>0</v>
      </c>
      <c r="W261" s="363">
        <v>0</v>
      </c>
      <c r="X261" s="363">
        <v>-751</v>
      </c>
      <c r="Y261" s="363">
        <v>0</v>
      </c>
      <c r="Z261" s="363">
        <v>0</v>
      </c>
      <c r="AA261" s="363">
        <v>0</v>
      </c>
      <c r="AB261" s="363">
        <v>-751</v>
      </c>
      <c r="AD261" s="363">
        <v>451</v>
      </c>
      <c r="AG261" s="363">
        <v>-596</v>
      </c>
      <c r="AH261" s="349"/>
      <c r="AJ261" s="363">
        <v>167</v>
      </c>
      <c r="AL261" s="363">
        <v>15026</v>
      </c>
      <c r="AN261" s="349"/>
      <c r="AO261" s="454">
        <v>2966</v>
      </c>
      <c r="AP261" s="478">
        <v>21.75</v>
      </c>
      <c r="AQ261" s="213"/>
      <c r="AS261" s="509">
        <v>8593</v>
      </c>
      <c r="AT261" s="349">
        <v>27712</v>
      </c>
      <c r="AU261" s="480">
        <v>-19119</v>
      </c>
      <c r="AV261" s="199">
        <v>7972</v>
      </c>
      <c r="AW261" s="199">
        <v>698</v>
      </c>
      <c r="AX261" s="199">
        <v>742</v>
      </c>
      <c r="AY261" s="199">
        <v>9412</v>
      </c>
      <c r="AZ261" s="199">
        <v>12056</v>
      </c>
      <c r="BA261" s="181">
        <v>26</v>
      </c>
      <c r="BB261" s="511">
        <v>138</v>
      </c>
      <c r="BC261" s="181">
        <v>25</v>
      </c>
      <c r="BD261" s="181">
        <v>7</v>
      </c>
      <c r="BE261" s="199">
        <v>2255</v>
      </c>
      <c r="BG261" s="183">
        <v>950</v>
      </c>
      <c r="BH261" s="183">
        <v>0</v>
      </c>
      <c r="BI261" s="183">
        <v>0</v>
      </c>
      <c r="BJ261" s="199">
        <v>1305</v>
      </c>
      <c r="BK261" s="183">
        <v>0</v>
      </c>
      <c r="BL261" s="183">
        <v>0</v>
      </c>
      <c r="BM261" s="183">
        <v>0</v>
      </c>
      <c r="BN261" s="199">
        <v>1305</v>
      </c>
      <c r="BP261" s="199">
        <v>1756</v>
      </c>
      <c r="BS261" s="211"/>
      <c r="BV261" s="514">
        <v>655</v>
      </c>
      <c r="BX261" s="181">
        <v>15970</v>
      </c>
      <c r="BZ261" s="349"/>
      <c r="CB261" s="340"/>
      <c r="CC261" s="488">
        <v>21.75</v>
      </c>
      <c r="CD261" s="378"/>
      <c r="CE261" s="378"/>
      <c r="CF261" s="195"/>
      <c r="CG261" s="349"/>
      <c r="CH261" s="347"/>
      <c r="CI261" s="181">
        <v>8751</v>
      </c>
      <c r="CJ261" s="183">
        <v>0</v>
      </c>
      <c r="CK261" s="421">
        <v>11620.688774104856</v>
      </c>
      <c r="CL261" s="494">
        <v>12055.835848565173</v>
      </c>
      <c r="CM261" s="483">
        <v>4024.6304463389297</v>
      </c>
      <c r="CN261" s="483">
        <v>4203.2300819229868</v>
      </c>
      <c r="CO261" s="483">
        <v>4062.5444781637257</v>
      </c>
      <c r="CP261" s="433">
        <f t="shared" si="4"/>
        <v>-1273.6887741048558</v>
      </c>
      <c r="CQ261" s="212"/>
      <c r="CR261" s="212">
        <v>40</v>
      </c>
      <c r="CS261" s="212">
        <v>-2077</v>
      </c>
      <c r="CT261" s="183">
        <v>0</v>
      </c>
      <c r="CU261" s="183">
        <v>132</v>
      </c>
      <c r="CV261" s="485">
        <v>200</v>
      </c>
      <c r="CX261" s="422"/>
      <c r="CY261" s="475"/>
      <c r="CZ261" s="450"/>
      <c r="DA261" s="394"/>
      <c r="DB261" s="394"/>
      <c r="DC261" s="347"/>
      <c r="DD261" s="394"/>
      <c r="DE261" s="394"/>
      <c r="DF261" s="394"/>
      <c r="DG261" s="394"/>
      <c r="DH261" s="394"/>
    </row>
    <row r="262" spans="1:112" x14ac:dyDescent="0.25">
      <c r="A262" s="179">
        <v>850</v>
      </c>
      <c r="B262" s="181" t="s">
        <v>286</v>
      </c>
      <c r="C262" s="373">
        <v>2388</v>
      </c>
      <c r="D262" s="360">
        <v>21</v>
      </c>
      <c r="E262" s="213"/>
      <c r="G262" s="363">
        <v>1772</v>
      </c>
      <c r="H262" s="363">
        <v>19142</v>
      </c>
      <c r="I262" s="349"/>
      <c r="J262" s="363">
        <v>6961</v>
      </c>
      <c r="K262" s="363">
        <v>624</v>
      </c>
      <c r="L262" s="363">
        <v>692</v>
      </c>
      <c r="M262" s="363">
        <v>8277</v>
      </c>
      <c r="N262" s="363">
        <v>5953</v>
      </c>
      <c r="O262" s="363">
        <v>0</v>
      </c>
      <c r="P262" s="363">
        <v>45</v>
      </c>
      <c r="Q262" s="363">
        <v>76</v>
      </c>
      <c r="R262" s="363">
        <v>42</v>
      </c>
      <c r="S262" s="363">
        <v>-3151</v>
      </c>
      <c r="U262" s="363">
        <v>875</v>
      </c>
      <c r="V262" s="363">
        <v>0</v>
      </c>
      <c r="W262" s="363">
        <v>0</v>
      </c>
      <c r="X262" s="363">
        <v>-4026</v>
      </c>
      <c r="Y262" s="363">
        <v>21</v>
      </c>
      <c r="Z262" s="363">
        <v>0</v>
      </c>
      <c r="AA262" s="363">
        <v>0</v>
      </c>
      <c r="AB262" s="363">
        <v>-4005</v>
      </c>
      <c r="AD262" s="363">
        <v>-3631</v>
      </c>
      <c r="AG262" s="363">
        <v>-464</v>
      </c>
      <c r="AH262" s="349"/>
      <c r="AJ262" s="363">
        <v>527</v>
      </c>
      <c r="AL262" s="363">
        <v>8092</v>
      </c>
      <c r="AN262" s="349"/>
      <c r="AO262" s="454">
        <v>2401</v>
      </c>
      <c r="AP262" s="478">
        <v>21</v>
      </c>
      <c r="AQ262" s="213"/>
      <c r="AS262" s="509">
        <v>2431</v>
      </c>
      <c r="AT262" s="349">
        <v>15489</v>
      </c>
      <c r="AU262" s="480">
        <v>-13058</v>
      </c>
      <c r="AV262" s="199">
        <v>7035</v>
      </c>
      <c r="AW262" s="199">
        <v>684</v>
      </c>
      <c r="AX262" s="199">
        <v>679</v>
      </c>
      <c r="AY262" s="199">
        <v>8398</v>
      </c>
      <c r="AZ262" s="199">
        <v>6978</v>
      </c>
      <c r="BA262" s="181">
        <v>0</v>
      </c>
      <c r="BB262" s="511">
        <v>50</v>
      </c>
      <c r="BC262" s="181">
        <v>86</v>
      </c>
      <c r="BD262" s="181">
        <v>19</v>
      </c>
      <c r="BE262" s="199">
        <v>2335</v>
      </c>
      <c r="BG262" s="183">
        <v>813</v>
      </c>
      <c r="BH262" s="183">
        <v>0</v>
      </c>
      <c r="BI262" s="183">
        <v>0</v>
      </c>
      <c r="BJ262" s="199">
        <v>1522</v>
      </c>
      <c r="BK262" s="199">
        <v>21</v>
      </c>
      <c r="BL262" s="183">
        <v>0</v>
      </c>
      <c r="BM262" s="183">
        <v>0</v>
      </c>
      <c r="BN262" s="199">
        <v>1543</v>
      </c>
      <c r="BP262" s="199">
        <v>-2088</v>
      </c>
      <c r="BS262" s="211"/>
      <c r="BV262" s="514">
        <v>1540</v>
      </c>
      <c r="BX262" s="181">
        <v>11469</v>
      </c>
      <c r="BZ262" s="349"/>
      <c r="CB262" s="340"/>
      <c r="CC262" s="488">
        <v>21</v>
      </c>
      <c r="CD262" s="378"/>
      <c r="CE262" s="378"/>
      <c r="CF262" s="195"/>
      <c r="CG262" s="349"/>
      <c r="CH262" s="347"/>
      <c r="CI262" s="181">
        <v>5093</v>
      </c>
      <c r="CJ262" s="183">
        <v>470</v>
      </c>
      <c r="CK262" s="421">
        <v>6575.5546729275593</v>
      </c>
      <c r="CL262" s="494">
        <v>7053.8234559132216</v>
      </c>
      <c r="CM262" s="483">
        <v>2692.5005862582493</v>
      </c>
      <c r="CN262" s="483">
        <v>2655.3210865624624</v>
      </c>
      <c r="CO262" s="483">
        <v>2695.216350189995</v>
      </c>
      <c r="CP262" s="433">
        <f t="shared" si="4"/>
        <v>-622.5546729275593</v>
      </c>
      <c r="CQ262" s="212"/>
      <c r="CR262" s="212">
        <v>-3379</v>
      </c>
      <c r="CS262" s="212">
        <v>-607</v>
      </c>
      <c r="CT262" s="183">
        <v>58</v>
      </c>
      <c r="CU262" s="183">
        <v>81</v>
      </c>
      <c r="CV262" s="485">
        <v>8</v>
      </c>
      <c r="CX262" s="422"/>
      <c r="CY262" s="475"/>
      <c r="CZ262" s="450"/>
      <c r="DA262" s="394"/>
      <c r="DB262" s="394"/>
      <c r="DC262" s="347"/>
      <c r="DD262" s="394"/>
      <c r="DE262" s="394"/>
      <c r="DF262" s="394"/>
      <c r="DG262" s="394"/>
      <c r="DH262" s="394"/>
    </row>
    <row r="263" spans="1:112" x14ac:dyDescent="0.25">
      <c r="A263" s="179">
        <v>851</v>
      </c>
      <c r="B263" s="181" t="s">
        <v>287</v>
      </c>
      <c r="C263" s="373">
        <v>21602</v>
      </c>
      <c r="D263" s="360">
        <v>21</v>
      </c>
      <c r="E263" s="213"/>
      <c r="G263" s="363">
        <v>18782</v>
      </c>
      <c r="H263" s="363">
        <v>141108</v>
      </c>
      <c r="I263" s="349"/>
      <c r="J263" s="363">
        <v>73795</v>
      </c>
      <c r="K263" s="363">
        <v>3001</v>
      </c>
      <c r="L263" s="363">
        <v>7085</v>
      </c>
      <c r="M263" s="363">
        <v>83881</v>
      </c>
      <c r="N263" s="363">
        <v>38346</v>
      </c>
      <c r="O263" s="363">
        <v>356</v>
      </c>
      <c r="P263" s="363">
        <v>414</v>
      </c>
      <c r="Q263" s="363">
        <v>133</v>
      </c>
      <c r="R263" s="363">
        <v>0</v>
      </c>
      <c r="S263" s="363">
        <v>-24</v>
      </c>
      <c r="U263" s="363">
        <v>5796</v>
      </c>
      <c r="V263" s="363">
        <v>0</v>
      </c>
      <c r="W263" s="363">
        <v>0</v>
      </c>
      <c r="X263" s="363">
        <v>-5820</v>
      </c>
      <c r="Y263" s="363">
        <v>0</v>
      </c>
      <c r="Z263" s="363">
        <v>0</v>
      </c>
      <c r="AA263" s="363">
        <v>0</v>
      </c>
      <c r="AB263" s="363">
        <v>-5820</v>
      </c>
      <c r="AD263" s="363">
        <v>7868</v>
      </c>
      <c r="AG263" s="363">
        <v>-4796</v>
      </c>
      <c r="AH263" s="349"/>
      <c r="AJ263" s="363">
        <v>2650</v>
      </c>
      <c r="AL263" s="363">
        <v>65700</v>
      </c>
      <c r="AN263" s="349"/>
      <c r="AO263" s="454">
        <v>21467</v>
      </c>
      <c r="AP263" s="478">
        <v>21</v>
      </c>
      <c r="AQ263" s="213"/>
      <c r="AS263" s="509">
        <v>17652</v>
      </c>
      <c r="AT263" s="349">
        <v>141503</v>
      </c>
      <c r="AU263" s="480">
        <v>-123851</v>
      </c>
      <c r="AV263" s="199">
        <v>76536</v>
      </c>
      <c r="AW263" s="199">
        <v>3289</v>
      </c>
      <c r="AX263" s="199">
        <v>6314</v>
      </c>
      <c r="AY263" s="199">
        <v>86139</v>
      </c>
      <c r="AZ263" s="199">
        <v>48147</v>
      </c>
      <c r="BA263" s="181">
        <v>356</v>
      </c>
      <c r="BB263" s="511">
        <v>393</v>
      </c>
      <c r="BC263" s="181">
        <v>1989</v>
      </c>
      <c r="BD263" s="181">
        <v>96</v>
      </c>
      <c r="BE263" s="199">
        <v>12291</v>
      </c>
      <c r="BG263" s="183">
        <v>5692</v>
      </c>
      <c r="BH263" s="183">
        <v>0</v>
      </c>
      <c r="BI263" s="183">
        <v>0</v>
      </c>
      <c r="BJ263" s="199">
        <v>6599</v>
      </c>
      <c r="BK263" s="199">
        <v>0</v>
      </c>
      <c r="BL263" s="183">
        <v>0</v>
      </c>
      <c r="BM263" s="183">
        <v>0</v>
      </c>
      <c r="BN263" s="199">
        <v>6599</v>
      </c>
      <c r="BP263" s="199">
        <v>14467</v>
      </c>
      <c r="BS263" s="211"/>
      <c r="BV263" s="514">
        <v>5580</v>
      </c>
      <c r="BX263" s="181">
        <v>64350</v>
      </c>
      <c r="BZ263" s="349"/>
      <c r="CB263" s="340"/>
      <c r="CC263" s="488">
        <v>21</v>
      </c>
      <c r="CD263" s="378"/>
      <c r="CE263" s="378"/>
      <c r="CF263" s="195"/>
      <c r="CG263" s="349"/>
      <c r="CI263" s="181">
        <v>32592</v>
      </c>
      <c r="CJ263" s="183">
        <v>0</v>
      </c>
      <c r="CK263" s="421">
        <v>43208.640575368074</v>
      </c>
      <c r="CL263" s="494">
        <v>45179.662592501729</v>
      </c>
      <c r="CM263" s="483">
        <v>13715.390565705546</v>
      </c>
      <c r="CN263" s="483">
        <v>13424.90104457332</v>
      </c>
      <c r="CO263" s="483">
        <v>13582.701720001356</v>
      </c>
      <c r="CP263" s="433">
        <f t="shared" si="4"/>
        <v>-4862.6405753680738</v>
      </c>
      <c r="CQ263" s="212"/>
      <c r="CR263" s="212">
        <v>-272</v>
      </c>
      <c r="CS263" s="212">
        <v>-7652</v>
      </c>
      <c r="CT263" s="183">
        <v>297</v>
      </c>
      <c r="CU263" s="183">
        <v>282</v>
      </c>
      <c r="CV263" s="485">
        <v>-308</v>
      </c>
      <c r="CX263" s="422"/>
      <c r="CY263" s="475"/>
      <c r="CZ263" s="450"/>
      <c r="DA263" s="394"/>
      <c r="DB263" s="394"/>
      <c r="DC263" s="347"/>
      <c r="DD263" s="394"/>
      <c r="DE263" s="394"/>
      <c r="DF263" s="394"/>
      <c r="DG263" s="394"/>
      <c r="DH263" s="394"/>
    </row>
    <row r="264" spans="1:112" x14ac:dyDescent="0.25">
      <c r="A264" s="179">
        <v>853</v>
      </c>
      <c r="B264" s="181" t="s">
        <v>288</v>
      </c>
      <c r="C264" s="373">
        <v>192962</v>
      </c>
      <c r="D264" s="360">
        <v>19.5</v>
      </c>
      <c r="E264" s="213"/>
      <c r="G264" s="363">
        <v>284116</v>
      </c>
      <c r="H264" s="363">
        <v>1355406</v>
      </c>
      <c r="I264" s="349"/>
      <c r="J264" s="363">
        <v>621946</v>
      </c>
      <c r="K264" s="363">
        <v>107347</v>
      </c>
      <c r="L264" s="363">
        <v>55759</v>
      </c>
      <c r="M264" s="363">
        <v>785052</v>
      </c>
      <c r="N264" s="363">
        <v>261721</v>
      </c>
      <c r="O264" s="363">
        <v>18643</v>
      </c>
      <c r="P264" s="363">
        <v>7376</v>
      </c>
      <c r="Q264" s="363">
        <v>26064</v>
      </c>
      <c r="R264" s="363">
        <v>1087</v>
      </c>
      <c r="S264" s="363">
        <v>11727</v>
      </c>
      <c r="U264" s="363">
        <v>57729</v>
      </c>
      <c r="V264" s="363">
        <v>7606</v>
      </c>
      <c r="W264" s="363">
        <v>0</v>
      </c>
      <c r="X264" s="363">
        <v>-38396</v>
      </c>
      <c r="Y264" s="363">
        <v>1945</v>
      </c>
      <c r="Z264" s="363">
        <v>0</v>
      </c>
      <c r="AA264" s="363">
        <v>0</v>
      </c>
      <c r="AB264" s="363">
        <v>-36451</v>
      </c>
      <c r="AD264" s="363">
        <v>171820</v>
      </c>
      <c r="AG264" s="363">
        <v>-83424</v>
      </c>
      <c r="AH264" s="349"/>
      <c r="AJ264" s="363">
        <v>238538</v>
      </c>
      <c r="AL264" s="363">
        <v>741540</v>
      </c>
      <c r="AN264" s="349"/>
      <c r="AO264" s="454">
        <v>194391</v>
      </c>
      <c r="AP264" s="478">
        <v>19.5</v>
      </c>
      <c r="AQ264" s="213"/>
      <c r="AS264" s="509">
        <v>271430</v>
      </c>
      <c r="AT264" s="349">
        <v>1390200</v>
      </c>
      <c r="AU264" s="480">
        <v>-1118770</v>
      </c>
      <c r="AV264" s="199">
        <v>654073</v>
      </c>
      <c r="AW264" s="199">
        <v>110192</v>
      </c>
      <c r="AX264" s="199">
        <v>52412</v>
      </c>
      <c r="AY264" s="199">
        <v>816677</v>
      </c>
      <c r="AZ264" s="199">
        <v>336454</v>
      </c>
      <c r="BA264" s="181">
        <v>15788</v>
      </c>
      <c r="BB264" s="511">
        <v>7617</v>
      </c>
      <c r="BC264" s="181">
        <v>24587</v>
      </c>
      <c r="BD264" s="181">
        <v>2220</v>
      </c>
      <c r="BE264" s="199">
        <v>64899</v>
      </c>
      <c r="BG264" s="183">
        <v>56741</v>
      </c>
      <c r="BH264" s="199">
        <v>0</v>
      </c>
      <c r="BI264" s="199">
        <v>0</v>
      </c>
      <c r="BJ264" s="199">
        <v>8158</v>
      </c>
      <c r="BK264" s="199">
        <v>-922</v>
      </c>
      <c r="BL264" s="183">
        <v>3000</v>
      </c>
      <c r="BM264" s="183">
        <v>0</v>
      </c>
      <c r="BN264" s="199">
        <v>10236</v>
      </c>
      <c r="BP264" s="199">
        <v>182056</v>
      </c>
      <c r="BS264" s="211"/>
      <c r="BV264" s="514">
        <v>176737</v>
      </c>
      <c r="BX264" s="181">
        <v>712782</v>
      </c>
      <c r="BZ264" s="349"/>
      <c r="CB264" s="340"/>
      <c r="CC264" s="488">
        <v>19.5</v>
      </c>
      <c r="CD264" s="378"/>
      <c r="CE264" s="378"/>
      <c r="CF264" s="195"/>
      <c r="CG264" s="349"/>
      <c r="CI264" s="181">
        <v>312971</v>
      </c>
      <c r="CJ264" s="183">
        <v>0</v>
      </c>
      <c r="CK264" s="421">
        <v>302272.36381703534</v>
      </c>
      <c r="CL264" s="494">
        <v>310933.59527132165</v>
      </c>
      <c r="CM264" s="483">
        <v>5499.3888380872013</v>
      </c>
      <c r="CN264" s="483">
        <v>14981.647676891887</v>
      </c>
      <c r="CO264" s="483">
        <v>21889.802870633765</v>
      </c>
      <c r="CP264" s="433">
        <f t="shared" si="4"/>
        <v>-40551.363817035337</v>
      </c>
      <c r="CQ264" s="212"/>
      <c r="CR264" s="212">
        <v>-16822</v>
      </c>
      <c r="CS264" s="212">
        <v>-80404</v>
      </c>
      <c r="CT264" s="183">
        <v>3382</v>
      </c>
      <c r="CU264" s="183">
        <v>24401</v>
      </c>
      <c r="CV264" s="485">
        <v>-25034</v>
      </c>
      <c r="CX264" s="422"/>
      <c r="CY264" s="475"/>
      <c r="CZ264" s="450"/>
      <c r="DA264" s="394"/>
      <c r="DB264" s="394"/>
      <c r="DC264" s="347"/>
      <c r="DD264" s="394"/>
      <c r="DE264" s="394"/>
      <c r="DF264" s="394"/>
      <c r="DG264" s="394"/>
      <c r="DH264" s="394"/>
    </row>
    <row r="265" spans="1:112" x14ac:dyDescent="0.25">
      <c r="A265" s="179">
        <v>857</v>
      </c>
      <c r="B265" s="181" t="s">
        <v>289</v>
      </c>
      <c r="C265" s="373">
        <v>2477</v>
      </c>
      <c r="D265" s="360">
        <v>22</v>
      </c>
      <c r="E265" s="213"/>
      <c r="G265" s="363">
        <v>3966</v>
      </c>
      <c r="H265" s="363">
        <v>22301</v>
      </c>
      <c r="I265" s="349"/>
      <c r="J265" s="363">
        <v>6658</v>
      </c>
      <c r="K265" s="363">
        <v>739</v>
      </c>
      <c r="L265" s="363">
        <v>935</v>
      </c>
      <c r="M265" s="363">
        <v>8332</v>
      </c>
      <c r="N265" s="363">
        <v>9677</v>
      </c>
      <c r="O265" s="363">
        <v>1</v>
      </c>
      <c r="P265" s="363">
        <v>46</v>
      </c>
      <c r="Q265" s="363">
        <v>179</v>
      </c>
      <c r="R265" s="363">
        <v>0</v>
      </c>
      <c r="S265" s="363">
        <v>-192</v>
      </c>
      <c r="U265" s="363">
        <v>1051</v>
      </c>
      <c r="V265" s="363">
        <v>0</v>
      </c>
      <c r="W265" s="363">
        <v>0</v>
      </c>
      <c r="X265" s="363">
        <v>-1243</v>
      </c>
      <c r="Y265" s="363">
        <v>111</v>
      </c>
      <c r="Z265" s="363">
        <v>0</v>
      </c>
      <c r="AA265" s="363">
        <v>0</v>
      </c>
      <c r="AB265" s="363">
        <v>-1132</v>
      </c>
      <c r="AD265" s="363">
        <v>3430</v>
      </c>
      <c r="AG265" s="363">
        <v>-1032</v>
      </c>
      <c r="AH265" s="349"/>
      <c r="AJ265" s="363">
        <v>200</v>
      </c>
      <c r="AL265" s="363">
        <v>3050</v>
      </c>
      <c r="AN265" s="349"/>
      <c r="AO265" s="454">
        <v>2433</v>
      </c>
      <c r="AP265" s="478">
        <v>22</v>
      </c>
      <c r="AQ265" s="213"/>
      <c r="AS265" s="509">
        <v>4037</v>
      </c>
      <c r="AT265" s="349">
        <v>22692</v>
      </c>
      <c r="AU265" s="480">
        <v>-18655</v>
      </c>
      <c r="AV265" s="199">
        <v>6606</v>
      </c>
      <c r="AW265" s="199">
        <v>883</v>
      </c>
      <c r="AX265" s="199">
        <v>856</v>
      </c>
      <c r="AY265" s="199">
        <v>8345</v>
      </c>
      <c r="AZ265" s="199">
        <v>10943</v>
      </c>
      <c r="BA265" s="181">
        <v>0</v>
      </c>
      <c r="BB265" s="513">
        <v>35</v>
      </c>
      <c r="BC265" s="181">
        <v>198</v>
      </c>
      <c r="BD265" s="181">
        <v>1</v>
      </c>
      <c r="BE265" s="199">
        <v>795</v>
      </c>
      <c r="BG265" s="183">
        <v>1062</v>
      </c>
      <c r="BH265" s="183">
        <v>0</v>
      </c>
      <c r="BI265" s="183">
        <v>0</v>
      </c>
      <c r="BJ265" s="199">
        <v>-267</v>
      </c>
      <c r="BK265" s="199">
        <v>111</v>
      </c>
      <c r="BL265" s="199">
        <v>0</v>
      </c>
      <c r="BM265" s="199">
        <v>0</v>
      </c>
      <c r="BN265" s="199">
        <v>-156</v>
      </c>
      <c r="BP265" s="199">
        <v>3274</v>
      </c>
      <c r="BS265" s="211"/>
      <c r="BV265" s="514">
        <v>1293</v>
      </c>
      <c r="BX265" s="181">
        <v>3925</v>
      </c>
      <c r="BZ265" s="349"/>
      <c r="CB265" s="340"/>
      <c r="CC265" s="488">
        <v>22</v>
      </c>
      <c r="CD265" s="378"/>
      <c r="CE265" s="378"/>
      <c r="CF265" s="195"/>
      <c r="CG265" s="349"/>
      <c r="CI265" s="181">
        <v>8727</v>
      </c>
      <c r="CJ265" s="183">
        <v>0</v>
      </c>
      <c r="CK265" s="421">
        <v>10138.909585134081</v>
      </c>
      <c r="CL265" s="494">
        <v>10469.122734940667</v>
      </c>
      <c r="CM265" s="483">
        <v>549.16703055275059</v>
      </c>
      <c r="CN265" s="483">
        <v>561.90593937338917</v>
      </c>
      <c r="CO265" s="483">
        <v>476.19119787843857</v>
      </c>
      <c r="CP265" s="433">
        <f t="shared" si="4"/>
        <v>-461.90958513408077</v>
      </c>
      <c r="CQ265" s="212"/>
      <c r="CR265" s="212">
        <v>58</v>
      </c>
      <c r="CS265" s="212">
        <v>-997</v>
      </c>
      <c r="CT265" s="183">
        <v>158</v>
      </c>
      <c r="CU265" s="183">
        <v>80</v>
      </c>
      <c r="CV265" s="485">
        <v>0</v>
      </c>
      <c r="CX265" s="422"/>
      <c r="CY265" s="475"/>
      <c r="CZ265" s="450"/>
      <c r="DA265" s="394"/>
      <c r="DB265" s="394"/>
      <c r="DC265" s="347"/>
      <c r="DD265" s="394"/>
      <c r="DE265" s="394"/>
      <c r="DF265" s="394"/>
      <c r="DG265" s="394"/>
      <c r="DH265" s="394"/>
    </row>
    <row r="266" spans="1:112" x14ac:dyDescent="0.25">
      <c r="A266" s="179">
        <v>858</v>
      </c>
      <c r="B266" s="181" t="s">
        <v>290</v>
      </c>
      <c r="C266" s="373">
        <v>38599</v>
      </c>
      <c r="D266" s="360">
        <v>19.5</v>
      </c>
      <c r="E266" s="213"/>
      <c r="G266" s="363">
        <v>46674</v>
      </c>
      <c r="H266" s="363">
        <v>248977</v>
      </c>
      <c r="I266" s="349"/>
      <c r="J266" s="363">
        <v>164111</v>
      </c>
      <c r="K266" s="363">
        <v>8148</v>
      </c>
      <c r="L266" s="363">
        <v>10264</v>
      </c>
      <c r="M266" s="363">
        <v>182523</v>
      </c>
      <c r="N266" s="363">
        <v>25429</v>
      </c>
      <c r="O266" s="363">
        <v>102</v>
      </c>
      <c r="P266" s="363">
        <v>863</v>
      </c>
      <c r="Q266" s="363">
        <v>576</v>
      </c>
      <c r="R266" s="363">
        <v>9</v>
      </c>
      <c r="S266" s="363">
        <v>5455</v>
      </c>
      <c r="U266" s="363">
        <v>25385</v>
      </c>
      <c r="V266" s="363">
        <v>0</v>
      </c>
      <c r="W266" s="363">
        <v>0</v>
      </c>
      <c r="X266" s="363">
        <v>-19930</v>
      </c>
      <c r="Y266" s="363">
        <v>0</v>
      </c>
      <c r="Z266" s="363">
        <v>0</v>
      </c>
      <c r="AA266" s="363">
        <v>0</v>
      </c>
      <c r="AB266" s="363">
        <v>-19930</v>
      </c>
      <c r="AD266" s="363">
        <v>40835</v>
      </c>
      <c r="AG266" s="363">
        <v>-27685</v>
      </c>
      <c r="AH266" s="349"/>
      <c r="AJ266" s="363">
        <v>16464</v>
      </c>
      <c r="AL266" s="363">
        <v>126386</v>
      </c>
      <c r="AN266" s="349"/>
      <c r="AO266" s="454">
        <v>38783</v>
      </c>
      <c r="AP266" s="478">
        <v>19.5</v>
      </c>
      <c r="AQ266" s="213"/>
      <c r="AS266" s="509">
        <v>38930</v>
      </c>
      <c r="AT266" s="349">
        <v>250890</v>
      </c>
      <c r="AU266" s="480">
        <v>-211960</v>
      </c>
      <c r="AV266" s="199">
        <v>173652</v>
      </c>
      <c r="AW266" s="199">
        <v>8443</v>
      </c>
      <c r="AX266" s="199">
        <v>10026</v>
      </c>
      <c r="AY266" s="199">
        <v>192121</v>
      </c>
      <c r="AZ266" s="199">
        <v>42077</v>
      </c>
      <c r="BA266" s="181">
        <v>85</v>
      </c>
      <c r="BB266" s="511">
        <v>1069</v>
      </c>
      <c r="BC266" s="181">
        <v>525</v>
      </c>
      <c r="BD266" s="181">
        <v>8</v>
      </c>
      <c r="BE266" s="199">
        <v>21771</v>
      </c>
      <c r="BG266" s="183">
        <v>18767</v>
      </c>
      <c r="BH266" s="199">
        <v>0</v>
      </c>
      <c r="BI266" s="183">
        <v>0</v>
      </c>
      <c r="BJ266" s="199">
        <v>3004</v>
      </c>
      <c r="BK266" s="183">
        <v>0</v>
      </c>
      <c r="BL266" s="183">
        <v>0</v>
      </c>
      <c r="BM266" s="183">
        <v>0</v>
      </c>
      <c r="BN266" s="199">
        <v>3004</v>
      </c>
      <c r="BP266" s="199">
        <v>43839</v>
      </c>
      <c r="BS266" s="211"/>
      <c r="BV266" s="514">
        <v>8253</v>
      </c>
      <c r="BX266" s="181">
        <v>131400</v>
      </c>
      <c r="BZ266" s="349"/>
      <c r="CB266" s="340"/>
      <c r="CC266" s="488">
        <v>19.5</v>
      </c>
      <c r="CD266" s="378"/>
      <c r="CE266" s="378"/>
      <c r="CF266" s="195"/>
      <c r="CG266" s="349"/>
      <c r="CI266" s="181">
        <v>22087</v>
      </c>
      <c r="CJ266" s="183">
        <v>0</v>
      </c>
      <c r="CK266" s="421">
        <v>31308.619497817253</v>
      </c>
      <c r="CL266" s="494">
        <v>33906.357026011545</v>
      </c>
      <c r="CM266" s="483">
        <v>13343.211799337872</v>
      </c>
      <c r="CN266" s="483">
        <v>14176.598006022245</v>
      </c>
      <c r="CO266" s="483">
        <v>15057.526758720922</v>
      </c>
      <c r="CP266" s="433">
        <f t="shared" si="4"/>
        <v>-5879.6194978172534</v>
      </c>
      <c r="CQ266" s="212"/>
      <c r="CR266" s="212">
        <v>-4929</v>
      </c>
      <c r="CS266" s="212">
        <v>-24863</v>
      </c>
      <c r="CT266" s="183">
        <v>0</v>
      </c>
      <c r="CU266" s="183">
        <v>6461</v>
      </c>
      <c r="CV266" s="485">
        <v>323</v>
      </c>
      <c r="CX266" s="422"/>
      <c r="CY266" s="475"/>
      <c r="CZ266" s="450"/>
      <c r="DA266" s="394"/>
      <c r="DB266" s="394"/>
      <c r="DC266" s="347"/>
      <c r="DD266" s="394"/>
      <c r="DE266" s="394"/>
      <c r="DF266" s="394"/>
      <c r="DG266" s="394"/>
      <c r="DH266" s="394"/>
    </row>
    <row r="267" spans="1:112" x14ac:dyDescent="0.25">
      <c r="A267" s="179">
        <v>859</v>
      </c>
      <c r="B267" s="181" t="s">
        <v>291</v>
      </c>
      <c r="C267" s="373">
        <v>6637</v>
      </c>
      <c r="D267" s="360">
        <v>22</v>
      </c>
      <c r="E267" s="213"/>
      <c r="G267" s="363">
        <v>4054</v>
      </c>
      <c r="H267" s="363">
        <v>40375</v>
      </c>
      <c r="I267" s="349"/>
      <c r="J267" s="363">
        <v>18387</v>
      </c>
      <c r="K267" s="363">
        <v>408</v>
      </c>
      <c r="L267" s="363">
        <v>925</v>
      </c>
      <c r="M267" s="363">
        <v>19720</v>
      </c>
      <c r="N267" s="363">
        <v>18800</v>
      </c>
      <c r="O267" s="363">
        <v>5</v>
      </c>
      <c r="P267" s="363">
        <v>278</v>
      </c>
      <c r="Q267" s="363">
        <v>21</v>
      </c>
      <c r="R267" s="363">
        <v>21</v>
      </c>
      <c r="S267" s="363">
        <v>1926</v>
      </c>
      <c r="U267" s="363">
        <v>2009</v>
      </c>
      <c r="V267" s="363">
        <v>300</v>
      </c>
      <c r="W267" s="363">
        <v>32</v>
      </c>
      <c r="X267" s="363">
        <v>185</v>
      </c>
      <c r="Y267" s="363">
        <v>0</v>
      </c>
      <c r="Z267" s="363">
        <v>0</v>
      </c>
      <c r="AA267" s="363">
        <v>0</v>
      </c>
      <c r="AB267" s="363">
        <v>185</v>
      </c>
      <c r="AD267" s="363">
        <v>1946</v>
      </c>
      <c r="AG267" s="363">
        <v>-505</v>
      </c>
      <c r="AH267" s="349"/>
      <c r="AJ267" s="363">
        <v>18</v>
      </c>
      <c r="AL267" s="363">
        <v>31939</v>
      </c>
      <c r="AN267" s="349"/>
      <c r="AO267" s="454">
        <v>6603</v>
      </c>
      <c r="AP267" s="478">
        <v>22</v>
      </c>
      <c r="AQ267" s="213"/>
      <c r="AS267" s="509">
        <v>4054</v>
      </c>
      <c r="AT267" s="349">
        <v>42252</v>
      </c>
      <c r="AU267" s="480">
        <v>-38198</v>
      </c>
      <c r="AV267" s="199">
        <v>18634</v>
      </c>
      <c r="AW267" s="199">
        <v>422</v>
      </c>
      <c r="AX267" s="199">
        <v>843</v>
      </c>
      <c r="AY267" s="199">
        <v>19899</v>
      </c>
      <c r="AZ267" s="199">
        <v>21801</v>
      </c>
      <c r="BA267" s="181">
        <v>11</v>
      </c>
      <c r="BB267" s="511">
        <v>271</v>
      </c>
      <c r="BC267" s="181">
        <v>19</v>
      </c>
      <c r="BD267" s="181">
        <v>18</v>
      </c>
      <c r="BE267" s="199">
        <v>3243</v>
      </c>
      <c r="BG267" s="183">
        <v>2036</v>
      </c>
      <c r="BH267" s="183">
        <v>17</v>
      </c>
      <c r="BI267" s="183">
        <v>248</v>
      </c>
      <c r="BJ267" s="199">
        <v>976</v>
      </c>
      <c r="BK267" s="199">
        <v>0</v>
      </c>
      <c r="BL267" s="199">
        <v>0</v>
      </c>
      <c r="BM267" s="183">
        <v>0</v>
      </c>
      <c r="BN267" s="199">
        <v>976</v>
      </c>
      <c r="BP267" s="199">
        <v>2922</v>
      </c>
      <c r="BS267" s="211"/>
      <c r="BV267" s="514">
        <v>1569</v>
      </c>
      <c r="BX267" s="181">
        <v>31310</v>
      </c>
      <c r="BZ267" s="349"/>
      <c r="CB267" s="340"/>
      <c r="CC267" s="488">
        <v>22</v>
      </c>
      <c r="CD267" s="378"/>
      <c r="CE267" s="378"/>
      <c r="CF267" s="195"/>
      <c r="CG267" s="349"/>
      <c r="CI267" s="181">
        <v>15747</v>
      </c>
      <c r="CJ267" s="183">
        <v>0</v>
      </c>
      <c r="CK267" s="421">
        <v>21356.123989938511</v>
      </c>
      <c r="CL267" s="494">
        <v>21905.078449428151</v>
      </c>
      <c r="CM267" s="483">
        <v>12418.091044305771</v>
      </c>
      <c r="CN267" s="483">
        <v>12652.630584006603</v>
      </c>
      <c r="CO267" s="483">
        <v>12839.325063200511</v>
      </c>
      <c r="CP267" s="433">
        <f t="shared" si="4"/>
        <v>-2556.1239899385109</v>
      </c>
      <c r="CQ267" s="212"/>
      <c r="CR267" s="212">
        <v>91</v>
      </c>
      <c r="CS267" s="212">
        <v>-1116</v>
      </c>
      <c r="CT267" s="183">
        <v>0</v>
      </c>
      <c r="CU267" s="183">
        <v>174</v>
      </c>
      <c r="CV267" s="485">
        <v>-22</v>
      </c>
      <c r="CX267" s="422"/>
      <c r="CY267" s="475"/>
      <c r="CZ267" s="450"/>
      <c r="DA267" s="394"/>
      <c r="DB267" s="394"/>
      <c r="DC267" s="347"/>
      <c r="DD267" s="394"/>
      <c r="DE267" s="394"/>
      <c r="DF267" s="394"/>
      <c r="DG267" s="394"/>
      <c r="DH267" s="394"/>
    </row>
    <row r="268" spans="1:112" x14ac:dyDescent="0.25">
      <c r="A268" s="179">
        <v>886</v>
      </c>
      <c r="B268" s="181" t="s">
        <v>292</v>
      </c>
      <c r="C268" s="373">
        <v>12871</v>
      </c>
      <c r="D268" s="360">
        <v>21</v>
      </c>
      <c r="E268" s="213"/>
      <c r="G268" s="363">
        <v>11760</v>
      </c>
      <c r="H268" s="363">
        <v>80470</v>
      </c>
      <c r="I268" s="349"/>
      <c r="J268" s="363">
        <v>44741</v>
      </c>
      <c r="K268" s="363">
        <v>2488</v>
      </c>
      <c r="L268" s="363">
        <v>2478</v>
      </c>
      <c r="M268" s="363">
        <v>49707</v>
      </c>
      <c r="N268" s="363">
        <v>21650</v>
      </c>
      <c r="O268" s="363">
        <v>30</v>
      </c>
      <c r="P268" s="363">
        <v>131</v>
      </c>
      <c r="Q268" s="363">
        <v>111</v>
      </c>
      <c r="R268" s="363">
        <v>3</v>
      </c>
      <c r="S268" s="363">
        <v>2654</v>
      </c>
      <c r="U268" s="363">
        <v>2948</v>
      </c>
      <c r="V268" s="363">
        <v>0</v>
      </c>
      <c r="W268" s="363">
        <v>0</v>
      </c>
      <c r="X268" s="363">
        <v>-294</v>
      </c>
      <c r="Y268" s="363">
        <v>0</v>
      </c>
      <c r="Z268" s="363">
        <v>0</v>
      </c>
      <c r="AA268" s="363">
        <v>0</v>
      </c>
      <c r="AB268" s="363">
        <v>-294</v>
      </c>
      <c r="AD268" s="363">
        <v>2171</v>
      </c>
      <c r="AG268" s="363">
        <v>-833</v>
      </c>
      <c r="AH268" s="349"/>
      <c r="AJ268" s="363">
        <v>4656</v>
      </c>
      <c r="AL268" s="363">
        <v>25567</v>
      </c>
      <c r="AN268" s="349"/>
      <c r="AO268" s="454">
        <v>12735</v>
      </c>
      <c r="AP268" s="478">
        <v>21.5</v>
      </c>
      <c r="AQ268" s="213"/>
      <c r="AS268" s="509">
        <v>10000</v>
      </c>
      <c r="AT268" s="349">
        <v>80768</v>
      </c>
      <c r="AU268" s="480">
        <v>-70768</v>
      </c>
      <c r="AV268" s="199">
        <v>47045</v>
      </c>
      <c r="AW268" s="199">
        <v>2211</v>
      </c>
      <c r="AX268" s="199">
        <v>2390</v>
      </c>
      <c r="AY268" s="199">
        <v>51646</v>
      </c>
      <c r="AZ268" s="199">
        <v>26436</v>
      </c>
      <c r="BA268" s="181">
        <v>29</v>
      </c>
      <c r="BB268" s="511">
        <v>109</v>
      </c>
      <c r="BC268" s="181">
        <v>86</v>
      </c>
      <c r="BD268" s="181">
        <v>1</v>
      </c>
      <c r="BE268" s="199">
        <v>7319</v>
      </c>
      <c r="BG268" s="183">
        <v>3623</v>
      </c>
      <c r="BH268" s="199">
        <v>0</v>
      </c>
      <c r="BI268" s="183">
        <v>0</v>
      </c>
      <c r="BJ268" s="199">
        <v>3696</v>
      </c>
      <c r="BK268" s="183">
        <v>0</v>
      </c>
      <c r="BL268" s="183">
        <v>0</v>
      </c>
      <c r="BM268" s="183">
        <v>0</v>
      </c>
      <c r="BN268" s="199">
        <v>3696</v>
      </c>
      <c r="BP268" s="199">
        <v>5940</v>
      </c>
      <c r="BS268" s="211"/>
      <c r="BV268" s="514">
        <v>7048</v>
      </c>
      <c r="BX268" s="181">
        <v>23523</v>
      </c>
      <c r="BZ268" s="349"/>
      <c r="CB268" s="340"/>
      <c r="CC268" s="488">
        <v>21.5</v>
      </c>
      <c r="CD268" s="378"/>
      <c r="CE268" s="378"/>
      <c r="CF268" s="195"/>
      <c r="CG268" s="349"/>
      <c r="CI268" s="181">
        <v>18161</v>
      </c>
      <c r="CJ268" s="183">
        <v>0</v>
      </c>
      <c r="CK268" s="421">
        <v>23815.193886867808</v>
      </c>
      <c r="CL268" s="494">
        <v>24993.419587522225</v>
      </c>
      <c r="CM268" s="483">
        <v>4901.348990833395</v>
      </c>
      <c r="CN268" s="483">
        <v>4920.071456862881</v>
      </c>
      <c r="CO268" s="483">
        <v>5053.7141415611377</v>
      </c>
      <c r="CP268" s="433">
        <f t="shared" si="4"/>
        <v>-2165.193886867808</v>
      </c>
      <c r="CQ268" s="212"/>
      <c r="CR268" s="212">
        <v>-1042</v>
      </c>
      <c r="CS268" s="212">
        <v>-3270</v>
      </c>
      <c r="CT268" s="183">
        <v>33</v>
      </c>
      <c r="CU268" s="183">
        <v>882</v>
      </c>
      <c r="CV268" s="485">
        <v>10</v>
      </c>
      <c r="CX268" s="422"/>
      <c r="CY268" s="475"/>
      <c r="CZ268" s="450"/>
      <c r="DA268" s="394"/>
      <c r="DB268" s="394"/>
      <c r="DC268" s="347"/>
      <c r="DD268" s="394"/>
      <c r="DE268" s="394"/>
      <c r="DF268" s="394"/>
      <c r="DG268" s="394"/>
      <c r="DH268" s="394"/>
    </row>
    <row r="269" spans="1:112" x14ac:dyDescent="0.25">
      <c r="A269" s="179">
        <v>887</v>
      </c>
      <c r="B269" s="181" t="s">
        <v>293</v>
      </c>
      <c r="C269" s="373">
        <v>4688</v>
      </c>
      <c r="D269" s="360">
        <v>22</v>
      </c>
      <c r="E269" s="213"/>
      <c r="G269" s="363">
        <v>5237</v>
      </c>
      <c r="H269" s="363">
        <v>34018</v>
      </c>
      <c r="I269" s="349"/>
      <c r="J269" s="363">
        <v>12981</v>
      </c>
      <c r="K269" s="363">
        <v>899</v>
      </c>
      <c r="L269" s="363">
        <v>1637</v>
      </c>
      <c r="M269" s="363">
        <v>15517</v>
      </c>
      <c r="N269" s="363">
        <v>13594</v>
      </c>
      <c r="O269" s="363">
        <v>15</v>
      </c>
      <c r="P269" s="363">
        <v>58</v>
      </c>
      <c r="Q269" s="363">
        <v>61</v>
      </c>
      <c r="R269" s="363">
        <v>0</v>
      </c>
      <c r="S269" s="363">
        <v>348</v>
      </c>
      <c r="U269" s="363">
        <v>1423</v>
      </c>
      <c r="V269" s="363">
        <v>0</v>
      </c>
      <c r="W269" s="363">
        <v>0</v>
      </c>
      <c r="X269" s="363">
        <v>-1075</v>
      </c>
      <c r="Y269" s="363">
        <v>0</v>
      </c>
      <c r="Z269" s="363">
        <v>100</v>
      </c>
      <c r="AA269" s="363">
        <v>0</v>
      </c>
      <c r="AB269" s="363">
        <v>-975</v>
      </c>
      <c r="AD269" s="363">
        <v>253</v>
      </c>
      <c r="AG269" s="363">
        <v>-466</v>
      </c>
      <c r="AH269" s="349"/>
      <c r="AJ269" s="363">
        <v>2693</v>
      </c>
      <c r="AL269" s="363">
        <v>12147</v>
      </c>
      <c r="AN269" s="349"/>
      <c r="AO269" s="454">
        <v>4644</v>
      </c>
      <c r="AP269" s="478">
        <v>22</v>
      </c>
      <c r="AQ269" s="213"/>
      <c r="AS269" s="509">
        <v>5299</v>
      </c>
      <c r="AT269" s="349">
        <v>35972</v>
      </c>
      <c r="AU269" s="480">
        <v>-30673</v>
      </c>
      <c r="AV269" s="199">
        <v>13571</v>
      </c>
      <c r="AW269" s="199">
        <v>1025</v>
      </c>
      <c r="AX269" s="199">
        <v>1471</v>
      </c>
      <c r="AY269" s="199">
        <v>16067</v>
      </c>
      <c r="AZ269" s="199">
        <v>16170</v>
      </c>
      <c r="BA269" s="181">
        <v>33</v>
      </c>
      <c r="BB269" s="511">
        <v>168</v>
      </c>
      <c r="BC269" s="181">
        <v>163</v>
      </c>
      <c r="BD269" s="181">
        <v>115</v>
      </c>
      <c r="BE269" s="199">
        <v>1477</v>
      </c>
      <c r="BG269" s="183">
        <v>1614</v>
      </c>
      <c r="BH269" s="183">
        <v>0</v>
      </c>
      <c r="BI269" s="183">
        <v>0</v>
      </c>
      <c r="BJ269" s="199">
        <v>-137</v>
      </c>
      <c r="BK269" s="183">
        <v>0</v>
      </c>
      <c r="BL269" s="183">
        <v>0</v>
      </c>
      <c r="BM269" s="183">
        <v>0</v>
      </c>
      <c r="BN269" s="199">
        <v>-137</v>
      </c>
      <c r="BP269" s="199">
        <v>109</v>
      </c>
      <c r="BS269" s="211"/>
      <c r="BV269" s="514">
        <v>3838</v>
      </c>
      <c r="BX269" s="181">
        <v>12704</v>
      </c>
      <c r="BZ269" s="349"/>
      <c r="CB269" s="340"/>
      <c r="CC269" s="488">
        <v>22</v>
      </c>
      <c r="CD269" s="378"/>
      <c r="CE269" s="378"/>
      <c r="CF269" s="195"/>
      <c r="CG269" s="349"/>
      <c r="CI269" s="181">
        <v>11814</v>
      </c>
      <c r="CJ269" s="183">
        <v>800</v>
      </c>
      <c r="CK269" s="421">
        <v>15404.016483876881</v>
      </c>
      <c r="CL269" s="494">
        <v>15711.804116724807</v>
      </c>
      <c r="CM269" s="483">
        <v>1976.5941274668396</v>
      </c>
      <c r="CN269" s="483">
        <v>1842.3840612458973</v>
      </c>
      <c r="CO269" s="483">
        <v>1718.429325321991</v>
      </c>
      <c r="CP269" s="433">
        <f t="shared" si="4"/>
        <v>-1810.0164838768815</v>
      </c>
      <c r="CQ269" s="212"/>
      <c r="CR269" s="212">
        <v>-20</v>
      </c>
      <c r="CS269" s="212">
        <v>-1539</v>
      </c>
      <c r="CT269" s="183">
        <v>0</v>
      </c>
      <c r="CU269" s="183">
        <v>78</v>
      </c>
      <c r="CV269" s="485">
        <v>-171</v>
      </c>
      <c r="CX269" s="422"/>
      <c r="CY269" s="475"/>
      <c r="CZ269" s="450"/>
      <c r="DA269" s="394"/>
      <c r="DB269" s="394"/>
      <c r="DC269" s="347"/>
      <c r="DD269" s="394"/>
      <c r="DE269" s="394"/>
      <c r="DF269" s="394"/>
      <c r="DG269" s="394"/>
      <c r="DH269" s="394"/>
    </row>
    <row r="270" spans="1:112" x14ac:dyDescent="0.25">
      <c r="A270" s="179">
        <v>889</v>
      </c>
      <c r="B270" s="181" t="s">
        <v>294</v>
      </c>
      <c r="C270" s="373">
        <v>2676</v>
      </c>
      <c r="D270" s="360">
        <v>20.5</v>
      </c>
      <c r="E270" s="213"/>
      <c r="G270" s="363">
        <v>3459</v>
      </c>
      <c r="H270" s="363">
        <v>23911</v>
      </c>
      <c r="I270" s="349"/>
      <c r="J270" s="363">
        <v>6577</v>
      </c>
      <c r="K270" s="363">
        <v>883</v>
      </c>
      <c r="L270" s="363">
        <v>2809</v>
      </c>
      <c r="M270" s="363">
        <v>10269</v>
      </c>
      <c r="N270" s="363">
        <v>11555</v>
      </c>
      <c r="O270" s="363">
        <v>40</v>
      </c>
      <c r="P270" s="363">
        <v>101</v>
      </c>
      <c r="Q270" s="363">
        <v>10</v>
      </c>
      <c r="R270" s="363">
        <v>0</v>
      </c>
      <c r="S270" s="363">
        <v>1321</v>
      </c>
      <c r="U270" s="363">
        <v>1153</v>
      </c>
      <c r="V270" s="363">
        <v>0</v>
      </c>
      <c r="W270" s="363">
        <v>0</v>
      </c>
      <c r="X270" s="363">
        <v>168</v>
      </c>
      <c r="Y270" s="363">
        <v>21</v>
      </c>
      <c r="Z270" s="363">
        <v>0</v>
      </c>
      <c r="AA270" s="363">
        <v>0</v>
      </c>
      <c r="AB270" s="363">
        <v>189</v>
      </c>
      <c r="AD270" s="363">
        <v>5278</v>
      </c>
      <c r="AG270" s="363">
        <v>-3488</v>
      </c>
      <c r="AH270" s="349"/>
      <c r="AJ270" s="363">
        <v>1463</v>
      </c>
      <c r="AL270" s="363">
        <v>10022</v>
      </c>
      <c r="AN270" s="349"/>
      <c r="AO270" s="454">
        <v>2619</v>
      </c>
      <c r="AP270" s="478">
        <v>20.5</v>
      </c>
      <c r="AQ270" s="213"/>
      <c r="AS270" s="509">
        <v>3202</v>
      </c>
      <c r="AT270" s="349">
        <v>24154</v>
      </c>
      <c r="AU270" s="480">
        <v>-20952</v>
      </c>
      <c r="AV270" s="199">
        <v>6544</v>
      </c>
      <c r="AW270" s="199">
        <v>977</v>
      </c>
      <c r="AX270" s="199">
        <v>2531</v>
      </c>
      <c r="AY270" s="199">
        <v>10052</v>
      </c>
      <c r="AZ270" s="199">
        <v>12850</v>
      </c>
      <c r="BA270" s="181">
        <v>48</v>
      </c>
      <c r="BB270" s="511">
        <v>100</v>
      </c>
      <c r="BC270" s="181">
        <v>7</v>
      </c>
      <c r="BD270" s="181">
        <v>1</v>
      </c>
      <c r="BE270" s="199">
        <v>1904</v>
      </c>
      <c r="BG270" s="183">
        <v>1202</v>
      </c>
      <c r="BH270" s="199">
        <v>0</v>
      </c>
      <c r="BI270" s="183">
        <v>0</v>
      </c>
      <c r="BJ270" s="199">
        <v>702</v>
      </c>
      <c r="BK270" s="199">
        <v>28</v>
      </c>
      <c r="BL270" s="183">
        <v>-650</v>
      </c>
      <c r="BM270" s="199">
        <v>26</v>
      </c>
      <c r="BN270" s="199">
        <v>106</v>
      </c>
      <c r="BP270" s="199">
        <v>5384</v>
      </c>
      <c r="BS270" s="211"/>
      <c r="BV270" s="514">
        <v>2571</v>
      </c>
      <c r="BX270" s="181">
        <v>10869</v>
      </c>
      <c r="BZ270" s="349"/>
      <c r="CB270" s="340"/>
      <c r="CC270" s="488">
        <v>20.5</v>
      </c>
      <c r="CD270" s="378"/>
      <c r="CE270" s="378"/>
      <c r="CF270" s="195"/>
      <c r="CG270" s="349"/>
      <c r="CI270" s="181">
        <v>11279</v>
      </c>
      <c r="CJ270" s="183">
        <v>0</v>
      </c>
      <c r="CK270" s="421">
        <v>12116.098835927633</v>
      </c>
      <c r="CL270" s="494">
        <v>12748.681839141213</v>
      </c>
      <c r="CM270" s="483">
        <v>4772.9557316615465</v>
      </c>
      <c r="CN270" s="483">
        <v>4565.7848426268947</v>
      </c>
      <c r="CO270" s="483">
        <v>4431.2431815566324</v>
      </c>
      <c r="CP270" s="433">
        <f t="shared" si="4"/>
        <v>-561.09883592763254</v>
      </c>
      <c r="CQ270" s="212"/>
      <c r="CR270" s="212">
        <v>-121</v>
      </c>
      <c r="CS270" s="212">
        <v>-2392</v>
      </c>
      <c r="CT270" s="183">
        <v>258</v>
      </c>
      <c r="CU270" s="183">
        <v>126</v>
      </c>
      <c r="CV270" s="485">
        <v>-5</v>
      </c>
      <c r="CX270" s="422"/>
      <c r="CY270" s="475"/>
      <c r="CZ270" s="450"/>
      <c r="DA270" s="394"/>
      <c r="DB270" s="394"/>
      <c r="DC270" s="347"/>
      <c r="DD270" s="394"/>
      <c r="DE270" s="394"/>
      <c r="DF270" s="394"/>
      <c r="DG270" s="394"/>
      <c r="DH270" s="394"/>
    </row>
    <row r="271" spans="1:112" x14ac:dyDescent="0.25">
      <c r="A271" s="179">
        <v>890</v>
      </c>
      <c r="B271" s="181" t="s">
        <v>295</v>
      </c>
      <c r="C271" s="373">
        <v>1212</v>
      </c>
      <c r="D271" s="360">
        <v>21</v>
      </c>
      <c r="E271" s="213"/>
      <c r="G271" s="363">
        <v>3233</v>
      </c>
      <c r="H271" s="363">
        <v>14019</v>
      </c>
      <c r="I271" s="349"/>
      <c r="J271" s="363">
        <v>3705</v>
      </c>
      <c r="K271" s="363">
        <v>163</v>
      </c>
      <c r="L271" s="363">
        <v>646</v>
      </c>
      <c r="M271" s="363">
        <v>4514</v>
      </c>
      <c r="N271" s="363">
        <v>7269</v>
      </c>
      <c r="O271" s="363">
        <v>1</v>
      </c>
      <c r="P271" s="363">
        <v>49</v>
      </c>
      <c r="Q271" s="363">
        <v>13</v>
      </c>
      <c r="R271" s="363">
        <v>4</v>
      </c>
      <c r="S271" s="363">
        <v>958</v>
      </c>
      <c r="U271" s="363">
        <v>650</v>
      </c>
      <c r="V271" s="363">
        <v>271</v>
      </c>
      <c r="W271" s="363">
        <v>0</v>
      </c>
      <c r="X271" s="363">
        <v>579</v>
      </c>
      <c r="Y271" s="363">
        <v>0</v>
      </c>
      <c r="Z271" s="363">
        <v>0</v>
      </c>
      <c r="AA271" s="363">
        <v>0</v>
      </c>
      <c r="AB271" s="363">
        <v>579</v>
      </c>
      <c r="AD271" s="363">
        <v>4457</v>
      </c>
      <c r="AG271" s="363">
        <v>-2633</v>
      </c>
      <c r="AH271" s="349"/>
      <c r="AJ271" s="363">
        <v>4830</v>
      </c>
      <c r="AL271" s="363">
        <v>8517</v>
      </c>
      <c r="AN271" s="349"/>
      <c r="AO271" s="454">
        <v>1219</v>
      </c>
      <c r="AP271" s="478">
        <v>21</v>
      </c>
      <c r="AQ271" s="213"/>
      <c r="AS271" s="509">
        <v>3338</v>
      </c>
      <c r="AT271" s="349">
        <v>14471</v>
      </c>
      <c r="AU271" s="480">
        <v>-11133</v>
      </c>
      <c r="AV271" s="199">
        <v>3999</v>
      </c>
      <c r="AW271" s="199">
        <v>154</v>
      </c>
      <c r="AX271" s="199">
        <v>595</v>
      </c>
      <c r="AY271" s="199">
        <v>4748</v>
      </c>
      <c r="AZ271" s="199">
        <v>7715</v>
      </c>
      <c r="BA271" s="181">
        <v>1</v>
      </c>
      <c r="BB271" s="511">
        <v>79</v>
      </c>
      <c r="BC271" s="181">
        <v>13</v>
      </c>
      <c r="BD271" s="181">
        <v>7</v>
      </c>
      <c r="BE271" s="199">
        <v>1258</v>
      </c>
      <c r="BG271" s="183">
        <v>645</v>
      </c>
      <c r="BH271" s="183">
        <v>0</v>
      </c>
      <c r="BI271" s="183">
        <v>0</v>
      </c>
      <c r="BJ271" s="199">
        <v>613</v>
      </c>
      <c r="BK271" s="183">
        <v>11</v>
      </c>
      <c r="BL271" s="183">
        <v>0</v>
      </c>
      <c r="BM271" s="183">
        <v>0</v>
      </c>
      <c r="BN271" s="199">
        <v>624</v>
      </c>
      <c r="BP271" s="199">
        <v>5080</v>
      </c>
      <c r="BS271" s="211"/>
      <c r="BV271" s="514">
        <v>3698</v>
      </c>
      <c r="BX271" s="181">
        <v>12374</v>
      </c>
      <c r="BZ271" s="349"/>
      <c r="CB271" s="340"/>
      <c r="CC271" s="488">
        <v>21</v>
      </c>
      <c r="CD271" s="378"/>
      <c r="CE271" s="378"/>
      <c r="CF271" s="195"/>
      <c r="CG271" s="349"/>
      <c r="CH271" s="347"/>
      <c r="CI271" s="181">
        <v>5598</v>
      </c>
      <c r="CJ271" s="183">
        <v>800</v>
      </c>
      <c r="CK271" s="421">
        <v>7291.7687970494499</v>
      </c>
      <c r="CL271" s="494">
        <v>7554.0620469117302</v>
      </c>
      <c r="CM271" s="483">
        <v>3961.1727311052628</v>
      </c>
      <c r="CN271" s="483">
        <v>3925.4550648334871</v>
      </c>
      <c r="CO271" s="483">
        <v>3961.352736468175</v>
      </c>
      <c r="CP271" s="433">
        <f t="shared" si="4"/>
        <v>-22.768797049449859</v>
      </c>
      <c r="CQ271" s="212"/>
      <c r="CR271" s="212">
        <v>0</v>
      </c>
      <c r="CS271" s="212">
        <v>-6414</v>
      </c>
      <c r="CT271" s="183">
        <v>0</v>
      </c>
      <c r="CU271" s="183">
        <v>0</v>
      </c>
      <c r="CV271" s="485">
        <v>27</v>
      </c>
      <c r="CX271" s="422"/>
      <c r="CY271" s="475"/>
      <c r="CZ271" s="450"/>
      <c r="DA271" s="394"/>
      <c r="DB271" s="394"/>
      <c r="DC271" s="347"/>
      <c r="DD271" s="394"/>
      <c r="DE271" s="394"/>
      <c r="DF271" s="394"/>
      <c r="DG271" s="394"/>
      <c r="DH271" s="394"/>
    </row>
    <row r="272" spans="1:112" x14ac:dyDescent="0.25">
      <c r="A272" s="179">
        <v>892</v>
      </c>
      <c r="B272" s="181" t="s">
        <v>296</v>
      </c>
      <c r="C272" s="373">
        <v>3681</v>
      </c>
      <c r="D272" s="360">
        <v>21.5</v>
      </c>
      <c r="E272" s="213"/>
      <c r="G272" s="363">
        <v>2937</v>
      </c>
      <c r="H272" s="363">
        <v>23760</v>
      </c>
      <c r="I272" s="349"/>
      <c r="J272" s="363">
        <v>10124</v>
      </c>
      <c r="K272" s="363">
        <v>573</v>
      </c>
      <c r="L272" s="363">
        <v>659</v>
      </c>
      <c r="M272" s="363">
        <v>11356</v>
      </c>
      <c r="N272" s="363">
        <v>9294</v>
      </c>
      <c r="O272" s="363">
        <v>0</v>
      </c>
      <c r="P272" s="363">
        <v>99</v>
      </c>
      <c r="Q272" s="363">
        <v>299</v>
      </c>
      <c r="R272" s="363">
        <v>8</v>
      </c>
      <c r="S272" s="363">
        <v>19</v>
      </c>
      <c r="U272" s="363">
        <v>1355</v>
      </c>
      <c r="V272" s="363">
        <v>0</v>
      </c>
      <c r="W272" s="363">
        <v>0</v>
      </c>
      <c r="X272" s="363">
        <v>-1336</v>
      </c>
      <c r="Y272" s="363">
        <v>15</v>
      </c>
      <c r="Z272" s="363">
        <v>0</v>
      </c>
      <c r="AA272" s="363">
        <v>0</v>
      </c>
      <c r="AB272" s="363">
        <v>-1321</v>
      </c>
      <c r="AD272" s="363">
        <v>670</v>
      </c>
      <c r="AG272" s="363">
        <v>-766</v>
      </c>
      <c r="AH272" s="349"/>
      <c r="AJ272" s="363">
        <v>3838</v>
      </c>
      <c r="AL272" s="363">
        <v>17042</v>
      </c>
      <c r="AN272" s="349"/>
      <c r="AO272" s="454">
        <v>3646</v>
      </c>
      <c r="AP272" s="478">
        <v>21.5</v>
      </c>
      <c r="AQ272" s="213"/>
      <c r="AS272" s="509">
        <v>2796</v>
      </c>
      <c r="AT272" s="349">
        <v>23187</v>
      </c>
      <c r="AU272" s="480">
        <v>-20391</v>
      </c>
      <c r="AV272" s="199">
        <v>10235</v>
      </c>
      <c r="AW272" s="199">
        <v>650</v>
      </c>
      <c r="AX272" s="199">
        <v>648</v>
      </c>
      <c r="AY272" s="199">
        <v>11533</v>
      </c>
      <c r="AZ272" s="199">
        <v>11195</v>
      </c>
      <c r="BA272" s="181">
        <v>0</v>
      </c>
      <c r="BB272" s="511">
        <v>126</v>
      </c>
      <c r="BC272" s="181">
        <v>151</v>
      </c>
      <c r="BD272" s="181">
        <v>95</v>
      </c>
      <c r="BE272" s="199">
        <v>2267</v>
      </c>
      <c r="BG272" s="183">
        <v>1755</v>
      </c>
      <c r="BH272" s="183">
        <v>0</v>
      </c>
      <c r="BI272" s="183">
        <v>0</v>
      </c>
      <c r="BJ272" s="199">
        <v>512</v>
      </c>
      <c r="BK272" s="183">
        <v>15</v>
      </c>
      <c r="BL272" s="183">
        <v>0</v>
      </c>
      <c r="BM272" s="183">
        <v>0</v>
      </c>
      <c r="BN272" s="199">
        <v>527</v>
      </c>
      <c r="BP272" s="199">
        <v>1198</v>
      </c>
      <c r="BS272" s="211"/>
      <c r="BV272" s="514">
        <v>5985</v>
      </c>
      <c r="BX272" s="181">
        <v>16928</v>
      </c>
      <c r="BZ272" s="349"/>
      <c r="CB272" s="340"/>
      <c r="CC272" s="488">
        <v>21.5</v>
      </c>
      <c r="CD272" s="378"/>
      <c r="CE272" s="378"/>
      <c r="CF272" s="195"/>
      <c r="CG272" s="349"/>
      <c r="CI272" s="181">
        <v>7629</v>
      </c>
      <c r="CJ272" s="183">
        <v>0</v>
      </c>
      <c r="CK272" s="421">
        <v>10652.289224410284</v>
      </c>
      <c r="CL272" s="494">
        <v>10382.931243869156</v>
      </c>
      <c r="CM272" s="483">
        <v>5245.2817970134538</v>
      </c>
      <c r="CN272" s="483">
        <v>5862.4758154487445</v>
      </c>
      <c r="CO272" s="483">
        <v>6028.8376428705424</v>
      </c>
      <c r="CP272" s="433">
        <f t="shared" si="4"/>
        <v>-1358.2892244102841</v>
      </c>
      <c r="CQ272" s="212"/>
      <c r="CR272" s="212">
        <v>-41</v>
      </c>
      <c r="CS272" s="212">
        <v>-369</v>
      </c>
      <c r="CT272" s="183">
        <v>0</v>
      </c>
      <c r="CU272" s="183">
        <v>68</v>
      </c>
      <c r="CV272" s="485">
        <v>0</v>
      </c>
      <c r="CX272" s="422"/>
      <c r="CY272" s="475"/>
      <c r="CZ272" s="450"/>
      <c r="DA272" s="394"/>
      <c r="DB272" s="394"/>
      <c r="DC272" s="347"/>
      <c r="DD272" s="394"/>
      <c r="DE272" s="394"/>
      <c r="DF272" s="394"/>
      <c r="DG272" s="394"/>
      <c r="DH272" s="394"/>
    </row>
    <row r="273" spans="1:112" x14ac:dyDescent="0.25">
      <c r="A273" s="179">
        <v>893</v>
      </c>
      <c r="B273" s="181" t="s">
        <v>297</v>
      </c>
      <c r="C273" s="373">
        <v>7464</v>
      </c>
      <c r="D273" s="360">
        <v>21.25</v>
      </c>
      <c r="E273" s="213"/>
      <c r="G273" s="363">
        <v>5380</v>
      </c>
      <c r="H273" s="363">
        <v>51009</v>
      </c>
      <c r="I273" s="349"/>
      <c r="J273" s="363">
        <v>21946</v>
      </c>
      <c r="K273" s="363">
        <v>2557</v>
      </c>
      <c r="L273" s="363">
        <v>2560</v>
      </c>
      <c r="M273" s="363">
        <v>27063</v>
      </c>
      <c r="N273" s="363">
        <v>18881</v>
      </c>
      <c r="O273" s="363">
        <v>139</v>
      </c>
      <c r="P273" s="363">
        <v>178</v>
      </c>
      <c r="Q273" s="363">
        <v>354</v>
      </c>
      <c r="R273" s="363">
        <v>18</v>
      </c>
      <c r="S273" s="363">
        <v>612</v>
      </c>
      <c r="U273" s="363">
        <v>2205</v>
      </c>
      <c r="V273" s="363">
        <v>0</v>
      </c>
      <c r="W273" s="363">
        <v>0</v>
      </c>
      <c r="X273" s="363">
        <v>-1593</v>
      </c>
      <c r="Y273" s="363">
        <v>69</v>
      </c>
      <c r="Z273" s="363">
        <v>0</v>
      </c>
      <c r="AA273" s="363">
        <v>0</v>
      </c>
      <c r="AB273" s="363">
        <v>-1524</v>
      </c>
      <c r="AD273" s="363">
        <v>4542</v>
      </c>
      <c r="AG273" s="363">
        <v>-6174</v>
      </c>
      <c r="AH273" s="349"/>
      <c r="AJ273" s="363">
        <v>1706</v>
      </c>
      <c r="AL273" s="363">
        <v>48707</v>
      </c>
      <c r="AN273" s="349"/>
      <c r="AO273" s="454">
        <v>7479</v>
      </c>
      <c r="AP273" s="478">
        <v>21.25</v>
      </c>
      <c r="AQ273" s="213"/>
      <c r="AS273" s="509">
        <v>5238</v>
      </c>
      <c r="AT273" s="349">
        <v>49197</v>
      </c>
      <c r="AU273" s="480">
        <v>-43959</v>
      </c>
      <c r="AV273" s="199">
        <v>22467</v>
      </c>
      <c r="AW273" s="199">
        <v>2735</v>
      </c>
      <c r="AX273" s="199">
        <v>2349</v>
      </c>
      <c r="AY273" s="199">
        <v>27551</v>
      </c>
      <c r="AZ273" s="199">
        <v>22196</v>
      </c>
      <c r="BA273" s="181">
        <v>188</v>
      </c>
      <c r="BB273" s="511">
        <v>179</v>
      </c>
      <c r="BC273" s="181">
        <v>342</v>
      </c>
      <c r="BD273" s="181">
        <v>4</v>
      </c>
      <c r="BE273" s="199">
        <v>6135</v>
      </c>
      <c r="BG273" s="183">
        <v>3075</v>
      </c>
      <c r="BH273" s="183">
        <v>0</v>
      </c>
      <c r="BI273" s="183">
        <v>0</v>
      </c>
      <c r="BJ273" s="199">
        <v>3060</v>
      </c>
      <c r="BK273" s="199">
        <v>56</v>
      </c>
      <c r="BL273" s="183">
        <v>0</v>
      </c>
      <c r="BM273" s="183">
        <v>0</v>
      </c>
      <c r="BN273" s="199">
        <v>3116</v>
      </c>
      <c r="BP273" s="199">
        <v>7658</v>
      </c>
      <c r="BS273" s="211"/>
      <c r="BV273" s="514">
        <v>4063</v>
      </c>
      <c r="BX273" s="181">
        <v>47090</v>
      </c>
      <c r="BZ273" s="349"/>
      <c r="CB273" s="340"/>
      <c r="CC273" s="488">
        <v>21.25</v>
      </c>
      <c r="CD273" s="378"/>
      <c r="CE273" s="378"/>
      <c r="CF273" s="195"/>
      <c r="CG273" s="349"/>
      <c r="CI273" s="181">
        <v>15668</v>
      </c>
      <c r="CJ273" s="183">
        <v>0</v>
      </c>
      <c r="CK273" s="421">
        <v>22106.201981242764</v>
      </c>
      <c r="CL273" s="494">
        <v>23266.315227558222</v>
      </c>
      <c r="CM273" s="483">
        <v>9079.2544828888604</v>
      </c>
      <c r="CN273" s="483">
        <v>8722.7692608292255</v>
      </c>
      <c r="CO273" s="483">
        <v>8312.1469095072825</v>
      </c>
      <c r="CP273" s="433">
        <f t="shared" si="4"/>
        <v>-3225.2019812427643</v>
      </c>
      <c r="CQ273" s="212"/>
      <c r="CR273" s="212">
        <v>0</v>
      </c>
      <c r="CS273" s="212">
        <v>-2134</v>
      </c>
      <c r="CT273" s="183">
        <v>66</v>
      </c>
      <c r="CU273" s="183">
        <v>9</v>
      </c>
      <c r="CV273" s="485">
        <v>-1000</v>
      </c>
      <c r="CX273" s="422"/>
      <c r="CY273" s="475"/>
      <c r="CZ273" s="450"/>
      <c r="DA273" s="394"/>
      <c r="DB273" s="394"/>
      <c r="DC273" s="347"/>
      <c r="DD273" s="394"/>
      <c r="DE273" s="394"/>
      <c r="DF273" s="394"/>
      <c r="DG273" s="394"/>
      <c r="DH273" s="394"/>
    </row>
    <row r="274" spans="1:112" x14ac:dyDescent="0.25">
      <c r="A274" s="179">
        <v>895</v>
      </c>
      <c r="B274" s="181" t="s">
        <v>298</v>
      </c>
      <c r="C274" s="373">
        <v>15522</v>
      </c>
      <c r="D274" s="360">
        <v>20.75</v>
      </c>
      <c r="E274" s="213"/>
      <c r="G274" s="363">
        <v>27487</v>
      </c>
      <c r="H274" s="363">
        <v>113513</v>
      </c>
      <c r="I274" s="349"/>
      <c r="J274" s="363">
        <v>56013</v>
      </c>
      <c r="K274" s="363">
        <v>3389</v>
      </c>
      <c r="L274" s="363">
        <v>5284</v>
      </c>
      <c r="M274" s="363">
        <v>64686</v>
      </c>
      <c r="N274" s="363">
        <v>23794</v>
      </c>
      <c r="O274" s="363">
        <v>164</v>
      </c>
      <c r="P274" s="363">
        <v>494</v>
      </c>
      <c r="Q274" s="363">
        <v>1530</v>
      </c>
      <c r="R274" s="363">
        <v>35</v>
      </c>
      <c r="S274" s="363">
        <v>3619</v>
      </c>
      <c r="U274" s="363">
        <v>6628</v>
      </c>
      <c r="V274" s="363">
        <v>0</v>
      </c>
      <c r="W274" s="363">
        <v>0</v>
      </c>
      <c r="X274" s="363">
        <v>-3009</v>
      </c>
      <c r="Y274" s="363">
        <v>502</v>
      </c>
      <c r="Z274" s="363">
        <v>0</v>
      </c>
      <c r="AA274" s="363">
        <v>-203</v>
      </c>
      <c r="AB274" s="363">
        <v>-2710</v>
      </c>
      <c r="AD274" s="363">
        <v>9560</v>
      </c>
      <c r="AG274" s="363">
        <v>-12378</v>
      </c>
      <c r="AH274" s="349"/>
      <c r="AJ274" s="363">
        <v>9229</v>
      </c>
      <c r="AL274" s="363">
        <v>42950</v>
      </c>
      <c r="AN274" s="349"/>
      <c r="AO274" s="454">
        <v>15378</v>
      </c>
      <c r="AP274" s="478">
        <v>20.75</v>
      </c>
      <c r="AQ274" s="213"/>
      <c r="AS274" s="509">
        <v>24901</v>
      </c>
      <c r="AT274" s="349">
        <v>111344</v>
      </c>
      <c r="AU274" s="480">
        <v>-86443</v>
      </c>
      <c r="AV274" s="199">
        <v>57673</v>
      </c>
      <c r="AW274" s="199">
        <v>3926</v>
      </c>
      <c r="AX274" s="199">
        <v>4806</v>
      </c>
      <c r="AY274" s="199">
        <v>66405</v>
      </c>
      <c r="AZ274" s="199">
        <v>31988</v>
      </c>
      <c r="BA274" s="181">
        <v>131</v>
      </c>
      <c r="BB274" s="511">
        <v>367</v>
      </c>
      <c r="BC274" s="181">
        <v>1364</v>
      </c>
      <c r="BD274" s="181">
        <v>97</v>
      </c>
      <c r="BE274" s="199">
        <v>12981</v>
      </c>
      <c r="BG274" s="183">
        <v>7560</v>
      </c>
      <c r="BH274" s="183">
        <v>0</v>
      </c>
      <c r="BI274" s="183">
        <v>7</v>
      </c>
      <c r="BJ274" s="199">
        <v>5414</v>
      </c>
      <c r="BK274" s="199">
        <v>310</v>
      </c>
      <c r="BL274" s="183">
        <v>0</v>
      </c>
      <c r="BM274" s="183">
        <v>-736</v>
      </c>
      <c r="BN274" s="199">
        <v>4988</v>
      </c>
      <c r="BP274" s="199">
        <v>14548</v>
      </c>
      <c r="BS274" s="211"/>
      <c r="BV274" s="514">
        <v>8832</v>
      </c>
      <c r="BX274" s="181">
        <v>43653</v>
      </c>
      <c r="BZ274" s="349"/>
      <c r="CB274" s="340"/>
      <c r="CC274" s="488">
        <v>20.75</v>
      </c>
      <c r="CD274" s="378"/>
      <c r="CE274" s="378"/>
      <c r="CF274" s="195"/>
      <c r="CG274" s="349"/>
      <c r="CI274" s="181">
        <v>27283</v>
      </c>
      <c r="CJ274" s="183">
        <v>1500</v>
      </c>
      <c r="CK274" s="421">
        <v>30265.692891471703</v>
      </c>
      <c r="CL274" s="494">
        <v>31725.78839383418</v>
      </c>
      <c r="CM274" s="483">
        <v>4898.4310889139242</v>
      </c>
      <c r="CN274" s="483">
        <v>4945.2605290891415</v>
      </c>
      <c r="CO274" s="483">
        <v>4835.5638388691777</v>
      </c>
      <c r="CP274" s="433">
        <f t="shared" si="4"/>
        <v>-6471.6928914717028</v>
      </c>
      <c r="CQ274" s="212"/>
      <c r="CR274" s="212">
        <v>-169</v>
      </c>
      <c r="CS274" s="212">
        <v>-12308</v>
      </c>
      <c r="CT274" s="183">
        <v>116</v>
      </c>
      <c r="CU274" s="183">
        <v>176</v>
      </c>
      <c r="CV274" s="485">
        <v>69</v>
      </c>
      <c r="CX274" s="422"/>
      <c r="CY274" s="475"/>
      <c r="CZ274" s="450"/>
      <c r="DA274" s="394"/>
      <c r="DB274" s="394"/>
      <c r="DC274" s="347"/>
      <c r="DD274" s="394"/>
      <c r="DE274" s="394"/>
      <c r="DF274" s="394"/>
      <c r="DG274" s="394"/>
      <c r="DH274" s="394"/>
    </row>
    <row r="275" spans="1:112" x14ac:dyDescent="0.25">
      <c r="A275" s="179">
        <v>785</v>
      </c>
      <c r="B275" s="181" t="s">
        <v>25</v>
      </c>
      <c r="C275" s="373">
        <v>2792</v>
      </c>
      <c r="D275" s="360">
        <v>21.5</v>
      </c>
      <c r="E275" s="213"/>
      <c r="G275" s="363">
        <v>2962</v>
      </c>
      <c r="H275" s="363">
        <v>26039</v>
      </c>
      <c r="I275" s="349"/>
      <c r="J275" s="363">
        <v>7628</v>
      </c>
      <c r="K275" s="363">
        <v>625</v>
      </c>
      <c r="L275" s="363">
        <v>2779</v>
      </c>
      <c r="M275" s="363">
        <v>11032</v>
      </c>
      <c r="N275" s="363">
        <v>12811</v>
      </c>
      <c r="O275" s="363">
        <v>27</v>
      </c>
      <c r="P275" s="363">
        <v>91</v>
      </c>
      <c r="Q275" s="363">
        <v>5</v>
      </c>
      <c r="R275" s="363">
        <v>1</v>
      </c>
      <c r="S275" s="363">
        <v>706</v>
      </c>
      <c r="U275" s="363">
        <v>1249</v>
      </c>
      <c r="V275" s="363">
        <v>0</v>
      </c>
      <c r="W275" s="363">
        <v>0</v>
      </c>
      <c r="X275" s="363">
        <v>-543</v>
      </c>
      <c r="Y275" s="363">
        <v>55</v>
      </c>
      <c r="Z275" s="363">
        <v>0</v>
      </c>
      <c r="AA275" s="363">
        <v>0</v>
      </c>
      <c r="AB275" s="363">
        <v>-488</v>
      </c>
      <c r="AD275" s="363">
        <v>2093</v>
      </c>
      <c r="AG275" s="363">
        <v>-335</v>
      </c>
      <c r="AH275" s="349"/>
      <c r="AJ275" s="363">
        <v>1205</v>
      </c>
      <c r="AL275" s="363">
        <v>10481</v>
      </c>
      <c r="AN275" s="349"/>
      <c r="AO275" s="454">
        <v>2737</v>
      </c>
      <c r="AP275" s="478">
        <v>21.5</v>
      </c>
      <c r="AQ275" s="213"/>
      <c r="AS275" s="509">
        <v>2502</v>
      </c>
      <c r="AT275" s="349">
        <v>26620</v>
      </c>
      <c r="AU275" s="480">
        <v>-24118</v>
      </c>
      <c r="AV275" s="199">
        <v>7645</v>
      </c>
      <c r="AW275" s="199">
        <v>719</v>
      </c>
      <c r="AX275" s="199">
        <v>2542</v>
      </c>
      <c r="AY275" s="199">
        <v>10906</v>
      </c>
      <c r="AZ275" s="199">
        <v>14076</v>
      </c>
      <c r="BA275" s="181">
        <v>31</v>
      </c>
      <c r="BB275" s="511">
        <v>60</v>
      </c>
      <c r="BC275" s="181">
        <v>8</v>
      </c>
      <c r="BD275" s="181">
        <v>1</v>
      </c>
      <c r="BE275" s="199">
        <v>842</v>
      </c>
      <c r="BG275" s="183">
        <v>1188</v>
      </c>
      <c r="BH275" s="183">
        <v>0</v>
      </c>
      <c r="BI275" s="183">
        <v>0</v>
      </c>
      <c r="BJ275" s="199">
        <v>-346</v>
      </c>
      <c r="BK275" s="183">
        <v>55</v>
      </c>
      <c r="BL275" s="199">
        <v>0</v>
      </c>
      <c r="BM275" s="183">
        <v>0</v>
      </c>
      <c r="BN275" s="199">
        <v>-291</v>
      </c>
      <c r="BP275" s="199">
        <v>1802</v>
      </c>
      <c r="BS275" s="211"/>
      <c r="BV275" s="514">
        <v>977</v>
      </c>
      <c r="BX275" s="181">
        <v>8645</v>
      </c>
      <c r="BZ275" s="349"/>
      <c r="CB275" s="340"/>
      <c r="CC275" s="488">
        <v>21.5</v>
      </c>
      <c r="CD275" s="378"/>
      <c r="CE275" s="378"/>
      <c r="CF275" s="195"/>
      <c r="CG275" s="349"/>
      <c r="CH275" s="347"/>
      <c r="CI275" s="181">
        <v>11769</v>
      </c>
      <c r="CJ275" s="183">
        <v>0</v>
      </c>
      <c r="CK275" s="421">
        <v>13222.040344236297</v>
      </c>
      <c r="CL275" s="494">
        <v>14956.473746679205</v>
      </c>
      <c r="CM275" s="483">
        <v>4329.0804180826872</v>
      </c>
      <c r="CN275" s="483">
        <v>4148.377630810598</v>
      </c>
      <c r="CO275" s="483">
        <v>3978.2032977771028</v>
      </c>
      <c r="CP275" s="433">
        <f t="shared" si="4"/>
        <v>-411.04034423629673</v>
      </c>
      <c r="CQ275" s="212"/>
      <c r="CR275" s="212">
        <v>754</v>
      </c>
      <c r="CS275" s="212">
        <v>-546</v>
      </c>
      <c r="CT275" s="183">
        <v>11</v>
      </c>
      <c r="CU275" s="183">
        <v>131</v>
      </c>
      <c r="CV275" s="485">
        <v>23</v>
      </c>
      <c r="CX275" s="422"/>
      <c r="CY275" s="475"/>
      <c r="CZ275" s="450"/>
      <c r="DA275" s="394"/>
      <c r="DB275" s="394"/>
      <c r="DC275" s="347"/>
      <c r="DD275" s="394"/>
      <c r="DE275" s="394"/>
      <c r="DF275" s="394"/>
      <c r="DG275" s="394"/>
      <c r="DH275" s="394"/>
    </row>
    <row r="276" spans="1:112" x14ac:dyDescent="0.25">
      <c r="A276" s="179">
        <v>905</v>
      </c>
      <c r="B276" s="181" t="s">
        <v>299</v>
      </c>
      <c r="C276" s="373">
        <v>67636</v>
      </c>
      <c r="D276" s="360">
        <v>20.5</v>
      </c>
      <c r="E276" s="213"/>
      <c r="G276" s="363">
        <v>130449</v>
      </c>
      <c r="H276" s="363">
        <v>502911</v>
      </c>
      <c r="I276" s="349"/>
      <c r="J276" s="363">
        <v>235919</v>
      </c>
      <c r="K276" s="363">
        <v>25763</v>
      </c>
      <c r="L276" s="363">
        <v>21474</v>
      </c>
      <c r="M276" s="363">
        <v>283156</v>
      </c>
      <c r="N276" s="363">
        <v>111300</v>
      </c>
      <c r="O276" s="363">
        <v>745</v>
      </c>
      <c r="P276" s="363">
        <v>2623</v>
      </c>
      <c r="Q276" s="363">
        <v>15285</v>
      </c>
      <c r="R276" s="363">
        <v>54</v>
      </c>
      <c r="S276" s="363">
        <v>35347</v>
      </c>
      <c r="U276" s="363">
        <v>28828</v>
      </c>
      <c r="V276" s="363">
        <v>0</v>
      </c>
      <c r="W276" s="363">
        <v>0</v>
      </c>
      <c r="X276" s="363">
        <v>6519</v>
      </c>
      <c r="Y276" s="363">
        <v>598</v>
      </c>
      <c r="Z276" s="363">
        <v>0</v>
      </c>
      <c r="AA276" s="363">
        <v>17</v>
      </c>
      <c r="AB276" s="363">
        <v>7134</v>
      </c>
      <c r="AD276" s="363">
        <v>-25799</v>
      </c>
      <c r="AG276" s="363">
        <v>-47479</v>
      </c>
      <c r="AH276" s="349"/>
      <c r="AJ276" s="363">
        <v>1687</v>
      </c>
      <c r="AL276" s="363">
        <v>275226</v>
      </c>
      <c r="AN276" s="349"/>
      <c r="AO276" s="454">
        <v>67551</v>
      </c>
      <c r="AP276" s="478">
        <v>21</v>
      </c>
      <c r="AQ276" s="213"/>
      <c r="AS276" s="509">
        <v>108002</v>
      </c>
      <c r="AT276" s="349">
        <v>497228</v>
      </c>
      <c r="AU276" s="480">
        <v>-389226</v>
      </c>
      <c r="AV276" s="199">
        <v>251340</v>
      </c>
      <c r="AW276" s="199">
        <v>27058</v>
      </c>
      <c r="AX276" s="199">
        <v>21541</v>
      </c>
      <c r="AY276" s="199">
        <v>299939</v>
      </c>
      <c r="AZ276" s="199">
        <v>141306</v>
      </c>
      <c r="BA276" s="181">
        <v>883</v>
      </c>
      <c r="BB276" s="511">
        <v>1005</v>
      </c>
      <c r="BC276" s="181">
        <v>12869</v>
      </c>
      <c r="BD276" s="181">
        <v>1906</v>
      </c>
      <c r="BE276" s="199">
        <v>62860</v>
      </c>
      <c r="BG276" s="183">
        <v>30239</v>
      </c>
      <c r="BH276" s="183">
        <v>0</v>
      </c>
      <c r="BI276" s="183">
        <v>0</v>
      </c>
      <c r="BJ276" s="199">
        <v>32621</v>
      </c>
      <c r="BK276" s="199">
        <v>543</v>
      </c>
      <c r="BL276" s="199">
        <v>-5500</v>
      </c>
      <c r="BM276" s="199">
        <v>76</v>
      </c>
      <c r="BN276" s="199">
        <v>27740</v>
      </c>
      <c r="BP276" s="199">
        <v>1707</v>
      </c>
      <c r="BS276" s="211"/>
      <c r="BV276" s="514">
        <v>7324</v>
      </c>
      <c r="BX276" s="181">
        <v>279756</v>
      </c>
      <c r="BZ276" s="349"/>
      <c r="CB276" s="340"/>
      <c r="CC276" s="488">
        <v>21</v>
      </c>
      <c r="CD276" s="378"/>
      <c r="CE276" s="378"/>
      <c r="CF276" s="195"/>
      <c r="CG276" s="349"/>
      <c r="CI276" s="181">
        <v>92131</v>
      </c>
      <c r="CJ276" s="183">
        <v>0</v>
      </c>
      <c r="CK276" s="421">
        <v>130249.09683381737</v>
      </c>
      <c r="CL276" s="494">
        <v>140748.75225812269</v>
      </c>
      <c r="CM276" s="483">
        <v>40208.197361689396</v>
      </c>
      <c r="CN276" s="483">
        <v>44804.962928071509</v>
      </c>
      <c r="CO276" s="483">
        <v>47396.909263199297</v>
      </c>
      <c r="CP276" s="433">
        <f t="shared" si="4"/>
        <v>-18949.09683381737</v>
      </c>
      <c r="CQ276" s="212"/>
      <c r="CR276" s="212">
        <v>-1269</v>
      </c>
      <c r="CS276" s="212">
        <v>-69909</v>
      </c>
      <c r="CT276" s="183">
        <v>4094</v>
      </c>
      <c r="CU276" s="183">
        <v>1061</v>
      </c>
      <c r="CV276" s="485">
        <v>389</v>
      </c>
      <c r="CX276" s="422"/>
      <c r="CY276" s="475"/>
      <c r="CZ276" s="450"/>
      <c r="DA276" s="394"/>
      <c r="DB276" s="394"/>
      <c r="DC276" s="347"/>
      <c r="DD276" s="394"/>
      <c r="DE276" s="394"/>
      <c r="DF276" s="394"/>
      <c r="DG276" s="394"/>
      <c r="DH276" s="394"/>
    </row>
    <row r="277" spans="1:112" x14ac:dyDescent="0.25">
      <c r="A277" s="179">
        <v>908</v>
      </c>
      <c r="B277" s="181" t="s">
        <v>300</v>
      </c>
      <c r="C277" s="373">
        <v>20972</v>
      </c>
      <c r="D277" s="360">
        <v>20.25</v>
      </c>
      <c r="E277" s="213"/>
      <c r="G277" s="363">
        <v>26140</v>
      </c>
      <c r="H277" s="363">
        <v>144182</v>
      </c>
      <c r="I277" s="349"/>
      <c r="J277" s="363">
        <v>72248</v>
      </c>
      <c r="K277" s="363">
        <v>4426</v>
      </c>
      <c r="L277" s="363">
        <v>5109</v>
      </c>
      <c r="M277" s="363">
        <v>81783</v>
      </c>
      <c r="N277" s="363">
        <v>38149</v>
      </c>
      <c r="O277" s="363">
        <v>67</v>
      </c>
      <c r="P277" s="363">
        <v>442</v>
      </c>
      <c r="Q277" s="363">
        <v>1993</v>
      </c>
      <c r="R277" s="363">
        <v>12</v>
      </c>
      <c r="S277" s="363">
        <v>3496</v>
      </c>
      <c r="U277" s="363">
        <v>7703</v>
      </c>
      <c r="V277" s="363">
        <v>0</v>
      </c>
      <c r="W277" s="363">
        <v>0</v>
      </c>
      <c r="X277" s="363">
        <v>-4207</v>
      </c>
      <c r="Y277" s="363">
        <v>353</v>
      </c>
      <c r="Z277" s="363">
        <v>0</v>
      </c>
      <c r="AA277" s="363">
        <v>0</v>
      </c>
      <c r="AB277" s="363">
        <v>-3854</v>
      </c>
      <c r="AD277" s="363">
        <v>107</v>
      </c>
      <c r="AG277" s="363">
        <v>-19313</v>
      </c>
      <c r="AH277" s="349"/>
      <c r="AJ277" s="363">
        <v>12732</v>
      </c>
      <c r="AL277" s="363">
        <v>75549</v>
      </c>
      <c r="AN277" s="349"/>
      <c r="AO277" s="454">
        <v>20765</v>
      </c>
      <c r="AP277" s="478">
        <v>20.25</v>
      </c>
      <c r="AQ277" s="213"/>
      <c r="AS277" s="509">
        <v>29910</v>
      </c>
      <c r="AT277" s="349">
        <v>149104</v>
      </c>
      <c r="AU277" s="480">
        <v>-119194</v>
      </c>
      <c r="AV277" s="199">
        <v>74365</v>
      </c>
      <c r="AW277" s="199">
        <v>5066</v>
      </c>
      <c r="AX277" s="199">
        <v>4783</v>
      </c>
      <c r="AY277" s="199">
        <v>84214</v>
      </c>
      <c r="AZ277" s="199">
        <v>47649</v>
      </c>
      <c r="BA277" s="181">
        <v>94</v>
      </c>
      <c r="BB277" s="511">
        <v>408</v>
      </c>
      <c r="BC277" s="181">
        <v>2016</v>
      </c>
      <c r="BD277" s="181">
        <v>14</v>
      </c>
      <c r="BE277" s="199">
        <v>14357</v>
      </c>
      <c r="BG277" s="183">
        <v>8763</v>
      </c>
      <c r="BH277" s="183">
        <v>0</v>
      </c>
      <c r="BI277" s="183">
        <v>0</v>
      </c>
      <c r="BJ277" s="199">
        <v>5594</v>
      </c>
      <c r="BK277" s="199">
        <v>328</v>
      </c>
      <c r="BL277" s="199">
        <v>0</v>
      </c>
      <c r="BM277" s="199">
        <v>0</v>
      </c>
      <c r="BN277" s="199">
        <v>5922</v>
      </c>
      <c r="BP277" s="199">
        <v>6028</v>
      </c>
      <c r="BS277" s="211"/>
      <c r="BV277" s="514">
        <v>18551</v>
      </c>
      <c r="BX277" s="181">
        <v>80660</v>
      </c>
      <c r="BZ277" s="349"/>
      <c r="CB277" s="340"/>
      <c r="CC277" s="488">
        <v>20.25</v>
      </c>
      <c r="CD277" s="378"/>
      <c r="CE277" s="378"/>
      <c r="CF277" s="195"/>
      <c r="CG277" s="349"/>
      <c r="CI277" s="181">
        <v>26820</v>
      </c>
      <c r="CJ277" s="183">
        <v>0</v>
      </c>
      <c r="CK277" s="421">
        <v>44050.724224098747</v>
      </c>
      <c r="CL277" s="494">
        <v>45138.736564736522</v>
      </c>
      <c r="CM277" s="483">
        <v>13530.503760752597</v>
      </c>
      <c r="CN277" s="483">
        <v>13034.107222731012</v>
      </c>
      <c r="CO277" s="483">
        <v>12372.547423233324</v>
      </c>
      <c r="CP277" s="433">
        <f t="shared" si="4"/>
        <v>-5901.7242240987471</v>
      </c>
      <c r="CQ277" s="212"/>
      <c r="CR277" s="212">
        <v>-970</v>
      </c>
      <c r="CS277" s="212">
        <v>-16528</v>
      </c>
      <c r="CT277" s="183">
        <v>475</v>
      </c>
      <c r="CU277" s="183">
        <v>1218</v>
      </c>
      <c r="CV277" s="485">
        <v>-3822</v>
      </c>
      <c r="CX277" s="422"/>
      <c r="CY277" s="475"/>
      <c r="CZ277" s="450"/>
      <c r="DA277" s="394"/>
      <c r="DB277" s="394"/>
      <c r="DC277" s="347"/>
      <c r="DD277" s="394"/>
      <c r="DE277" s="394"/>
      <c r="DF277" s="394"/>
      <c r="DG277" s="394"/>
      <c r="DH277" s="394"/>
    </row>
    <row r="278" spans="1:112" x14ac:dyDescent="0.25">
      <c r="A278" s="179">
        <v>92</v>
      </c>
      <c r="B278" s="181" t="s">
        <v>301</v>
      </c>
      <c r="C278" s="373">
        <v>233775</v>
      </c>
      <c r="D278" s="360">
        <v>19</v>
      </c>
      <c r="E278" s="213"/>
      <c r="G278" s="363">
        <v>230548</v>
      </c>
      <c r="H278" s="363">
        <v>1407467</v>
      </c>
      <c r="I278" s="349"/>
      <c r="J278" s="363">
        <v>861500</v>
      </c>
      <c r="K278" s="363">
        <v>74609</v>
      </c>
      <c r="L278" s="363">
        <v>78503</v>
      </c>
      <c r="M278" s="363">
        <v>1014612</v>
      </c>
      <c r="N278" s="363">
        <v>184319</v>
      </c>
      <c r="O278" s="363">
        <v>13943</v>
      </c>
      <c r="P278" s="363">
        <v>1915</v>
      </c>
      <c r="Q278" s="363">
        <v>15611</v>
      </c>
      <c r="R278" s="363">
        <v>509</v>
      </c>
      <c r="S278" s="363">
        <v>49142</v>
      </c>
      <c r="U278" s="363">
        <v>115154</v>
      </c>
      <c r="V278" s="363">
        <v>3265</v>
      </c>
      <c r="W278" s="363">
        <v>0</v>
      </c>
      <c r="X278" s="363">
        <v>-62747</v>
      </c>
      <c r="Y278" s="363">
        <v>464</v>
      </c>
      <c r="Z278" s="363">
        <v>0</v>
      </c>
      <c r="AA278" s="363">
        <v>-304</v>
      </c>
      <c r="AB278" s="363">
        <v>-62587</v>
      </c>
      <c r="AD278" s="363">
        <v>404794</v>
      </c>
      <c r="AG278" s="363">
        <v>-129775</v>
      </c>
      <c r="AH278" s="349"/>
      <c r="AJ278" s="363">
        <v>124665</v>
      </c>
      <c r="AL278" s="363">
        <v>954892</v>
      </c>
      <c r="AN278" s="349"/>
      <c r="AO278" s="454">
        <v>237231</v>
      </c>
      <c r="AP278" s="478">
        <v>19</v>
      </c>
      <c r="AQ278" s="213"/>
      <c r="AS278" s="509">
        <v>236908</v>
      </c>
      <c r="AT278" s="349">
        <v>1463197</v>
      </c>
      <c r="AU278" s="480">
        <v>-1226289</v>
      </c>
      <c r="AV278" s="199">
        <v>914970</v>
      </c>
      <c r="AW278" s="199">
        <v>83468</v>
      </c>
      <c r="AX278" s="199">
        <v>74525</v>
      </c>
      <c r="AY278" s="199">
        <v>1072963</v>
      </c>
      <c r="AZ278" s="199">
        <v>293038</v>
      </c>
      <c r="BA278" s="181">
        <v>13733</v>
      </c>
      <c r="BB278" s="511">
        <v>1911</v>
      </c>
      <c r="BC278" s="181">
        <v>15341</v>
      </c>
      <c r="BD278" s="181">
        <v>121</v>
      </c>
      <c r="BE278" s="199">
        <v>166754</v>
      </c>
      <c r="BG278" s="183">
        <v>111818</v>
      </c>
      <c r="BH278" s="183">
        <v>125</v>
      </c>
      <c r="BI278" s="183">
        <v>0</v>
      </c>
      <c r="BJ278" s="199">
        <v>55061</v>
      </c>
      <c r="BK278" s="199">
        <v>314</v>
      </c>
      <c r="BL278" s="199">
        <v>0</v>
      </c>
      <c r="BM278" s="199">
        <v>-757</v>
      </c>
      <c r="BN278" s="199">
        <v>54618</v>
      </c>
      <c r="BP278" s="199">
        <v>459281</v>
      </c>
      <c r="BS278" s="211"/>
      <c r="BV278" s="514">
        <v>128195</v>
      </c>
      <c r="BX278" s="181">
        <v>906317</v>
      </c>
      <c r="BZ278" s="349"/>
      <c r="CB278" s="340"/>
      <c r="CC278" s="488">
        <v>19</v>
      </c>
      <c r="CD278" s="378"/>
      <c r="CE278" s="378"/>
      <c r="CF278" s="195"/>
      <c r="CG278" s="349"/>
      <c r="CI278" s="181">
        <v>128960</v>
      </c>
      <c r="CJ278" s="183">
        <v>0</v>
      </c>
      <c r="CK278" s="421">
        <v>248652.00772997254</v>
      </c>
      <c r="CL278" s="494">
        <v>269845.66974816669</v>
      </c>
      <c r="CM278" s="483">
        <v>200553.54148684116</v>
      </c>
      <c r="CN278" s="483">
        <v>211146.62306378954</v>
      </c>
      <c r="CO278" s="483">
        <v>221211.94999560987</v>
      </c>
      <c r="CP278" s="433">
        <f t="shared" si="4"/>
        <v>-64333.007729972538</v>
      </c>
      <c r="CQ278" s="212"/>
      <c r="CR278" s="212">
        <v>-31431</v>
      </c>
      <c r="CS278" s="212">
        <v>-144947</v>
      </c>
      <c r="CT278" s="183">
        <v>2109</v>
      </c>
      <c r="CU278" s="183">
        <v>40032</v>
      </c>
      <c r="CV278" s="485">
        <v>7971</v>
      </c>
      <c r="CX278" s="422"/>
      <c r="CY278" s="475"/>
      <c r="CZ278" s="450"/>
      <c r="DA278" s="394"/>
      <c r="DB278" s="394"/>
      <c r="DC278" s="347"/>
      <c r="DD278" s="394"/>
      <c r="DE278" s="394"/>
      <c r="DF278" s="394"/>
      <c r="DG278" s="394"/>
      <c r="DH278" s="394"/>
    </row>
    <row r="279" spans="1:112" x14ac:dyDescent="0.25">
      <c r="A279" s="179">
        <v>915</v>
      </c>
      <c r="B279" s="181" t="s">
        <v>302</v>
      </c>
      <c r="C279" s="373">
        <v>20466</v>
      </c>
      <c r="D279" s="360">
        <v>21</v>
      </c>
      <c r="E279" s="213"/>
      <c r="G279" s="363">
        <v>46634</v>
      </c>
      <c r="H279" s="363">
        <v>174132</v>
      </c>
      <c r="I279" s="349"/>
      <c r="J279" s="363">
        <v>68776</v>
      </c>
      <c r="K279" s="363">
        <v>4278</v>
      </c>
      <c r="L279" s="363">
        <v>5899</v>
      </c>
      <c r="M279" s="363">
        <v>78953</v>
      </c>
      <c r="N279" s="363">
        <v>49528</v>
      </c>
      <c r="O279" s="363">
        <v>817</v>
      </c>
      <c r="P279" s="363">
        <v>409</v>
      </c>
      <c r="Q279" s="363">
        <v>1393</v>
      </c>
      <c r="R279" s="363">
        <v>155</v>
      </c>
      <c r="S279" s="363">
        <v>2629</v>
      </c>
      <c r="U279" s="363">
        <v>8994</v>
      </c>
      <c r="V279" s="363">
        <v>196</v>
      </c>
      <c r="W279" s="363">
        <v>0</v>
      </c>
      <c r="X279" s="363">
        <v>-6169</v>
      </c>
      <c r="Y279" s="363">
        <v>0</v>
      </c>
      <c r="Z279" s="363">
        <v>12500</v>
      </c>
      <c r="AA279" s="363">
        <v>0</v>
      </c>
      <c r="AB279" s="363">
        <v>6331</v>
      </c>
      <c r="AD279" s="363">
        <v>23799</v>
      </c>
      <c r="AG279" s="363">
        <v>-10524</v>
      </c>
      <c r="AH279" s="349"/>
      <c r="AJ279" s="363">
        <v>10332</v>
      </c>
      <c r="AL279" s="363">
        <v>73567</v>
      </c>
      <c r="AN279" s="349"/>
      <c r="AO279" s="454">
        <v>20278</v>
      </c>
      <c r="AP279" s="478">
        <v>21</v>
      </c>
      <c r="AQ279" s="213"/>
      <c r="AS279" s="509">
        <v>46207</v>
      </c>
      <c r="AT279" s="349">
        <v>177361</v>
      </c>
      <c r="AU279" s="480">
        <v>-131154</v>
      </c>
      <c r="AV279" s="199">
        <v>70514</v>
      </c>
      <c r="AW279" s="199">
        <v>4842</v>
      </c>
      <c r="AX279" s="199">
        <v>5465</v>
      </c>
      <c r="AY279" s="199">
        <v>80821</v>
      </c>
      <c r="AZ279" s="199">
        <v>58635</v>
      </c>
      <c r="BA279" s="181">
        <v>816</v>
      </c>
      <c r="BB279" s="511">
        <v>260</v>
      </c>
      <c r="BC279" s="181">
        <v>1620</v>
      </c>
      <c r="BD279" s="181">
        <v>125</v>
      </c>
      <c r="BE279" s="199">
        <v>10353</v>
      </c>
      <c r="BG279" s="183">
        <v>11028</v>
      </c>
      <c r="BH279" s="183">
        <v>0</v>
      </c>
      <c r="BI279" s="183">
        <v>1024</v>
      </c>
      <c r="BJ279" s="199">
        <v>-1699</v>
      </c>
      <c r="BK279" s="183">
        <v>0</v>
      </c>
      <c r="BL279" s="199">
        <v>0</v>
      </c>
      <c r="BM279" s="183">
        <v>0</v>
      </c>
      <c r="BN279" s="199">
        <v>-1699</v>
      </c>
      <c r="BP279" s="199">
        <v>22100</v>
      </c>
      <c r="BS279" s="211"/>
      <c r="BV279" s="514">
        <v>20231</v>
      </c>
      <c r="BX279" s="181">
        <v>87767</v>
      </c>
      <c r="BZ279" s="349"/>
      <c r="CB279" s="340"/>
      <c r="CC279" s="488">
        <v>21</v>
      </c>
      <c r="CD279" s="378"/>
      <c r="CE279" s="378"/>
      <c r="CF279" s="195"/>
      <c r="CG279" s="349"/>
      <c r="CI279" s="181">
        <v>37466</v>
      </c>
      <c r="CJ279" s="183">
        <v>0</v>
      </c>
      <c r="CK279" s="421">
        <v>55670.956977367103</v>
      </c>
      <c r="CL279" s="494">
        <v>56581.906994157966</v>
      </c>
      <c r="CM279" s="483">
        <v>9041.4306993060109</v>
      </c>
      <c r="CN279" s="483">
        <v>7003.1870544690009</v>
      </c>
      <c r="CO279" s="483">
        <v>5663.9159483986059</v>
      </c>
      <c r="CP279" s="433">
        <f t="shared" si="4"/>
        <v>-6142.9569773671028</v>
      </c>
      <c r="CQ279" s="212"/>
      <c r="CR279" s="212">
        <v>-707</v>
      </c>
      <c r="CS279" s="212">
        <v>-12023</v>
      </c>
      <c r="CT279" s="183">
        <v>15</v>
      </c>
      <c r="CU279" s="183">
        <v>1663</v>
      </c>
      <c r="CV279" s="485">
        <v>-2262</v>
      </c>
      <c r="CX279" s="422"/>
      <c r="CY279" s="475"/>
      <c r="CZ279" s="450"/>
      <c r="DA279" s="394"/>
      <c r="DB279" s="394"/>
      <c r="DC279" s="347"/>
      <c r="DD279" s="394"/>
      <c r="DE279" s="394"/>
      <c r="DF279" s="394"/>
      <c r="DG279" s="394"/>
      <c r="DH279" s="394"/>
    </row>
    <row r="280" spans="1:112" x14ac:dyDescent="0.25">
      <c r="A280" s="179">
        <v>918</v>
      </c>
      <c r="B280" s="181" t="s">
        <v>303</v>
      </c>
      <c r="C280" s="373">
        <v>2293</v>
      </c>
      <c r="D280" s="360">
        <v>22.25</v>
      </c>
      <c r="E280" s="213"/>
      <c r="G280" s="363">
        <v>7339</v>
      </c>
      <c r="H280" s="363">
        <v>21085</v>
      </c>
      <c r="I280" s="349"/>
      <c r="J280" s="363">
        <v>7149</v>
      </c>
      <c r="K280" s="363">
        <v>712</v>
      </c>
      <c r="L280" s="363">
        <v>763</v>
      </c>
      <c r="M280" s="363">
        <v>8624</v>
      </c>
      <c r="N280" s="363">
        <v>5960</v>
      </c>
      <c r="O280" s="363">
        <v>42</v>
      </c>
      <c r="P280" s="363">
        <v>179</v>
      </c>
      <c r="Q280" s="363">
        <v>4</v>
      </c>
      <c r="R280" s="363">
        <v>0</v>
      </c>
      <c r="S280" s="363">
        <v>705</v>
      </c>
      <c r="U280" s="363">
        <v>637</v>
      </c>
      <c r="V280" s="363">
        <v>0</v>
      </c>
      <c r="W280" s="363">
        <v>527</v>
      </c>
      <c r="X280" s="363">
        <v>-459</v>
      </c>
      <c r="Y280" s="363">
        <v>0</v>
      </c>
      <c r="Z280" s="363">
        <v>0</v>
      </c>
      <c r="AA280" s="363">
        <v>0</v>
      </c>
      <c r="AB280" s="363">
        <v>-459</v>
      </c>
      <c r="AD280" s="363">
        <v>-1489</v>
      </c>
      <c r="AG280" s="363">
        <v>-3332</v>
      </c>
      <c r="AH280" s="349"/>
      <c r="AJ280" s="363">
        <v>2383</v>
      </c>
      <c r="AL280" s="363">
        <v>18408</v>
      </c>
      <c r="AN280" s="349"/>
      <c r="AO280" s="454">
        <v>2292</v>
      </c>
      <c r="AP280" s="478">
        <v>22.25</v>
      </c>
      <c r="AQ280" s="213"/>
      <c r="AS280" s="509">
        <v>7190</v>
      </c>
      <c r="AT280" s="349">
        <v>20289</v>
      </c>
      <c r="AU280" s="480">
        <v>-13099</v>
      </c>
      <c r="AV280" s="199">
        <v>7448</v>
      </c>
      <c r="AW280" s="199">
        <v>874</v>
      </c>
      <c r="AX280" s="199">
        <v>698</v>
      </c>
      <c r="AY280" s="199">
        <v>9020</v>
      </c>
      <c r="AZ280" s="199">
        <v>6704</v>
      </c>
      <c r="BA280" s="181">
        <v>47</v>
      </c>
      <c r="BB280" s="511">
        <v>177</v>
      </c>
      <c r="BC280" s="181">
        <v>3</v>
      </c>
      <c r="BD280" s="181">
        <v>0</v>
      </c>
      <c r="BE280" s="199">
        <v>2498</v>
      </c>
      <c r="BG280" s="183">
        <v>735</v>
      </c>
      <c r="BH280" s="199">
        <v>0</v>
      </c>
      <c r="BI280" s="199">
        <v>0</v>
      </c>
      <c r="BJ280" s="199">
        <v>1763</v>
      </c>
      <c r="BK280" s="183">
        <v>0</v>
      </c>
      <c r="BL280" s="199">
        <v>0</v>
      </c>
      <c r="BM280" s="183">
        <v>0</v>
      </c>
      <c r="BN280" s="199">
        <v>1763</v>
      </c>
      <c r="BP280" s="199">
        <v>274</v>
      </c>
      <c r="BS280" s="211"/>
      <c r="BV280" s="514">
        <v>1649</v>
      </c>
      <c r="BX280" s="181">
        <v>16484</v>
      </c>
      <c r="BZ280" s="349"/>
      <c r="CB280" s="340"/>
      <c r="CC280" s="488">
        <v>22.25</v>
      </c>
      <c r="CD280" s="378"/>
      <c r="CE280" s="378"/>
      <c r="CF280" s="195"/>
      <c r="CG280" s="349"/>
      <c r="CI280" s="181">
        <v>5507</v>
      </c>
      <c r="CJ280" s="183">
        <v>0</v>
      </c>
      <c r="CK280" s="421">
        <v>5974.2459775602501</v>
      </c>
      <c r="CL280" s="494">
        <v>6159.9762348245622</v>
      </c>
      <c r="CM280" s="483">
        <v>523.51352604956799</v>
      </c>
      <c r="CN280" s="483">
        <v>554.49878786656416</v>
      </c>
      <c r="CO280" s="483">
        <v>615.6665207471591</v>
      </c>
      <c r="CP280" s="433">
        <f t="shared" si="4"/>
        <v>-14.24597756025014</v>
      </c>
      <c r="CQ280" s="212"/>
      <c r="CR280" s="212">
        <v>-393</v>
      </c>
      <c r="CS280" s="212">
        <v>-510</v>
      </c>
      <c r="CT280" s="183">
        <v>0</v>
      </c>
      <c r="CU280" s="183">
        <v>399</v>
      </c>
      <c r="CV280" s="485">
        <v>0</v>
      </c>
      <c r="CX280" s="422"/>
      <c r="CY280" s="475"/>
      <c r="CZ280" s="450"/>
      <c r="DA280" s="394"/>
      <c r="DB280" s="394"/>
      <c r="DC280" s="347"/>
      <c r="DD280" s="394"/>
      <c r="DE280" s="394"/>
      <c r="DF280" s="394"/>
      <c r="DG280" s="394"/>
      <c r="DH280" s="394"/>
    </row>
    <row r="281" spans="1:112" x14ac:dyDescent="0.25">
      <c r="A281" s="179">
        <v>921</v>
      </c>
      <c r="B281" s="181" t="s">
        <v>304</v>
      </c>
      <c r="C281" s="373">
        <v>2014</v>
      </c>
      <c r="D281" s="360">
        <v>21.5</v>
      </c>
      <c r="E281" s="213"/>
      <c r="G281" s="363">
        <v>3189</v>
      </c>
      <c r="H281" s="363">
        <v>18711</v>
      </c>
      <c r="I281" s="349"/>
      <c r="J281" s="363">
        <v>4707</v>
      </c>
      <c r="K281" s="363">
        <v>581</v>
      </c>
      <c r="L281" s="363">
        <v>595</v>
      </c>
      <c r="M281" s="363">
        <v>5883</v>
      </c>
      <c r="N281" s="363">
        <v>9630</v>
      </c>
      <c r="O281" s="363">
        <v>0</v>
      </c>
      <c r="P281" s="363">
        <v>75</v>
      </c>
      <c r="Q281" s="363">
        <v>243</v>
      </c>
      <c r="R281" s="363">
        <v>2</v>
      </c>
      <c r="S281" s="363">
        <v>157</v>
      </c>
      <c r="U281" s="363">
        <v>627</v>
      </c>
      <c r="V281" s="363">
        <v>0</v>
      </c>
      <c r="W281" s="363">
        <v>268</v>
      </c>
      <c r="X281" s="363">
        <v>-738</v>
      </c>
      <c r="Y281" s="363">
        <v>0</v>
      </c>
      <c r="Z281" s="363">
        <v>0</v>
      </c>
      <c r="AA281" s="363">
        <v>0</v>
      </c>
      <c r="AB281" s="363">
        <v>-738</v>
      </c>
      <c r="AD281" s="363">
        <v>-1162</v>
      </c>
      <c r="AG281" s="363">
        <v>-837</v>
      </c>
      <c r="AH281" s="349"/>
      <c r="AJ281" s="363">
        <v>619</v>
      </c>
      <c r="AL281" s="363">
        <v>7232</v>
      </c>
      <c r="AN281" s="349"/>
      <c r="AO281" s="454">
        <v>1972</v>
      </c>
      <c r="AP281" s="478">
        <v>21.5</v>
      </c>
      <c r="AQ281" s="213"/>
      <c r="AS281" s="509">
        <v>2958</v>
      </c>
      <c r="AT281" s="349">
        <v>18939</v>
      </c>
      <c r="AU281" s="480">
        <v>-15981</v>
      </c>
      <c r="AV281" s="199">
        <v>4927</v>
      </c>
      <c r="AW281" s="199">
        <v>664</v>
      </c>
      <c r="AX281" s="199">
        <v>673</v>
      </c>
      <c r="AY281" s="199">
        <v>6264</v>
      </c>
      <c r="AZ281" s="199">
        <v>10954</v>
      </c>
      <c r="BA281" s="181">
        <v>0</v>
      </c>
      <c r="BB281" s="511">
        <v>85</v>
      </c>
      <c r="BC281" s="181">
        <v>257</v>
      </c>
      <c r="BD281" s="181">
        <v>10</v>
      </c>
      <c r="BE281" s="199">
        <v>1399</v>
      </c>
      <c r="BG281" s="183">
        <v>628</v>
      </c>
      <c r="BH281" s="183">
        <v>0</v>
      </c>
      <c r="BI281" s="183">
        <v>0</v>
      </c>
      <c r="BJ281" s="199">
        <v>771</v>
      </c>
      <c r="BK281" s="183">
        <v>0</v>
      </c>
      <c r="BL281" s="183">
        <v>0</v>
      </c>
      <c r="BM281" s="183">
        <v>0</v>
      </c>
      <c r="BN281" s="199">
        <v>771</v>
      </c>
      <c r="BP281" s="199">
        <v>-67</v>
      </c>
      <c r="BS281" s="211"/>
      <c r="BV281" s="514">
        <v>1705</v>
      </c>
      <c r="BX281" s="181">
        <v>7603</v>
      </c>
      <c r="BZ281" s="349"/>
      <c r="CB281" s="340"/>
      <c r="CC281" s="488">
        <v>21.5</v>
      </c>
      <c r="CD281" s="378"/>
      <c r="CE281" s="378"/>
      <c r="CF281" s="195"/>
      <c r="CG281" s="349"/>
      <c r="CI281" s="181">
        <v>8995</v>
      </c>
      <c r="CJ281" s="183">
        <v>0</v>
      </c>
      <c r="CK281" s="421">
        <v>10695.944443195835</v>
      </c>
      <c r="CL281" s="494">
        <v>11235.968558304885</v>
      </c>
      <c r="CM281" s="483">
        <v>2969.5205959614336</v>
      </c>
      <c r="CN281" s="483">
        <v>2858.0783260890094</v>
      </c>
      <c r="CO281" s="483">
        <v>2683.8196146709115</v>
      </c>
      <c r="CP281" s="433">
        <f t="shared" si="4"/>
        <v>-1065.9444431958345</v>
      </c>
      <c r="CQ281" s="212"/>
      <c r="CR281" s="212">
        <v>11</v>
      </c>
      <c r="CS281" s="212">
        <v>-703</v>
      </c>
      <c r="CT281" s="183">
        <v>0</v>
      </c>
      <c r="CU281" s="183">
        <v>46</v>
      </c>
      <c r="CV281" s="485">
        <v>0</v>
      </c>
      <c r="CX281" s="422"/>
      <c r="CY281" s="475"/>
      <c r="CZ281" s="450"/>
      <c r="DA281" s="394"/>
      <c r="DB281" s="394"/>
      <c r="DC281" s="347"/>
      <c r="DD281" s="394"/>
      <c r="DE281" s="394"/>
      <c r="DF281" s="394"/>
      <c r="DG281" s="394"/>
      <c r="DH281" s="394"/>
    </row>
    <row r="282" spans="1:112" x14ac:dyDescent="0.25">
      <c r="A282" s="179">
        <v>922</v>
      </c>
      <c r="B282" s="181" t="s">
        <v>305</v>
      </c>
      <c r="C282" s="373">
        <v>4355</v>
      </c>
      <c r="D282" s="360">
        <v>21.5</v>
      </c>
      <c r="E282" s="213"/>
      <c r="G282" s="363">
        <v>3011</v>
      </c>
      <c r="H282" s="363">
        <v>26989</v>
      </c>
      <c r="I282" s="349"/>
      <c r="J282" s="363">
        <v>15175</v>
      </c>
      <c r="K282" s="363">
        <v>525</v>
      </c>
      <c r="L282" s="363">
        <v>1260</v>
      </c>
      <c r="M282" s="363">
        <v>16960</v>
      </c>
      <c r="N282" s="363">
        <v>8515</v>
      </c>
      <c r="O282" s="363">
        <v>4</v>
      </c>
      <c r="P282" s="363">
        <v>61</v>
      </c>
      <c r="Q282" s="363">
        <v>104</v>
      </c>
      <c r="R282" s="363">
        <v>3</v>
      </c>
      <c r="S282" s="363">
        <v>1541</v>
      </c>
      <c r="U282" s="363">
        <v>1566</v>
      </c>
      <c r="V282" s="363">
        <v>0</v>
      </c>
      <c r="W282" s="363">
        <v>0</v>
      </c>
      <c r="X282" s="363">
        <v>-25</v>
      </c>
      <c r="Y282" s="363">
        <v>39</v>
      </c>
      <c r="Z282" s="363">
        <v>0</v>
      </c>
      <c r="AA282" s="363">
        <v>0</v>
      </c>
      <c r="AB282" s="363">
        <v>14</v>
      </c>
      <c r="AD282" s="363">
        <v>669</v>
      </c>
      <c r="AG282" s="363">
        <v>-614</v>
      </c>
      <c r="AH282" s="349"/>
      <c r="AJ282" s="363">
        <v>3575</v>
      </c>
      <c r="AL282" s="363">
        <v>17080</v>
      </c>
      <c r="AN282" s="349"/>
      <c r="AO282" s="454">
        <v>4367</v>
      </c>
      <c r="AP282" s="478">
        <v>22</v>
      </c>
      <c r="AQ282" s="213"/>
      <c r="AS282" s="509">
        <v>2930</v>
      </c>
      <c r="AT282" s="349">
        <v>26907</v>
      </c>
      <c r="AU282" s="480">
        <v>-23977</v>
      </c>
      <c r="AV282" s="199">
        <v>16184</v>
      </c>
      <c r="AW282" s="199">
        <v>575</v>
      </c>
      <c r="AX282" s="199">
        <v>1183</v>
      </c>
      <c r="AY282" s="199">
        <v>17942</v>
      </c>
      <c r="AZ282" s="199">
        <v>9150</v>
      </c>
      <c r="BA282" s="181">
        <v>6</v>
      </c>
      <c r="BB282" s="511">
        <v>72</v>
      </c>
      <c r="BC282" s="181">
        <v>87</v>
      </c>
      <c r="BD282" s="181">
        <v>48</v>
      </c>
      <c r="BE282" s="199">
        <v>3088</v>
      </c>
      <c r="BG282" s="183">
        <v>1522</v>
      </c>
      <c r="BH282" s="183">
        <v>0</v>
      </c>
      <c r="BI282" s="183">
        <v>0</v>
      </c>
      <c r="BJ282" s="199">
        <v>1566</v>
      </c>
      <c r="BK282" s="199">
        <v>39</v>
      </c>
      <c r="BL282" s="199">
        <v>0</v>
      </c>
      <c r="BM282" s="183">
        <v>0</v>
      </c>
      <c r="BN282" s="199">
        <v>1605</v>
      </c>
      <c r="BP282" s="199">
        <v>2273</v>
      </c>
      <c r="BS282" s="211"/>
      <c r="BV282" s="514">
        <v>2498</v>
      </c>
      <c r="BX282" s="181">
        <v>13484</v>
      </c>
      <c r="BZ282" s="349"/>
      <c r="CB282" s="340"/>
      <c r="CC282" s="488">
        <v>22</v>
      </c>
      <c r="CD282" s="378"/>
      <c r="CE282" s="378"/>
      <c r="CF282" s="195"/>
      <c r="CG282" s="349"/>
      <c r="CI282" s="181">
        <v>8784</v>
      </c>
      <c r="CJ282" s="183">
        <v>0</v>
      </c>
      <c r="CK282" s="421">
        <v>7890.3991982680209</v>
      </c>
      <c r="CL282" s="494">
        <v>7843.4840906739582</v>
      </c>
      <c r="CM282" s="483">
        <v>1461.1249203144243</v>
      </c>
      <c r="CN282" s="483">
        <v>1335.0782852559673</v>
      </c>
      <c r="CO282" s="483">
        <v>1578.8898179963712</v>
      </c>
      <c r="CP282" s="433">
        <f t="shared" si="4"/>
        <v>624.60080173197912</v>
      </c>
      <c r="CQ282" s="212"/>
      <c r="CR282" s="212">
        <v>-98</v>
      </c>
      <c r="CS282" s="212">
        <v>-1348</v>
      </c>
      <c r="CT282" s="183">
        <v>4</v>
      </c>
      <c r="CU282" s="183">
        <v>113</v>
      </c>
      <c r="CV282" s="485">
        <v>0</v>
      </c>
      <c r="CX282" s="422"/>
      <c r="CY282" s="475"/>
      <c r="CZ282" s="450"/>
      <c r="DA282" s="394"/>
      <c r="DB282" s="394"/>
      <c r="DC282" s="347"/>
      <c r="DD282" s="394"/>
      <c r="DE282" s="394"/>
      <c r="DF282" s="394"/>
      <c r="DG282" s="394"/>
      <c r="DH282" s="394"/>
    </row>
    <row r="283" spans="1:112" x14ac:dyDescent="0.25">
      <c r="A283" s="179">
        <v>924</v>
      </c>
      <c r="B283" s="181" t="s">
        <v>306</v>
      </c>
      <c r="C283" s="373">
        <v>3114</v>
      </c>
      <c r="D283" s="360">
        <v>22</v>
      </c>
      <c r="E283" s="213"/>
      <c r="G283" s="363">
        <v>3405</v>
      </c>
      <c r="H283" s="363">
        <v>23119</v>
      </c>
      <c r="I283" s="349"/>
      <c r="J283" s="363">
        <v>8863</v>
      </c>
      <c r="K283" s="363">
        <v>606</v>
      </c>
      <c r="L283" s="363">
        <v>714</v>
      </c>
      <c r="M283" s="363">
        <v>10183</v>
      </c>
      <c r="N283" s="363">
        <v>9816</v>
      </c>
      <c r="O283" s="363">
        <v>80</v>
      </c>
      <c r="P283" s="363">
        <v>121</v>
      </c>
      <c r="Q283" s="363">
        <v>105</v>
      </c>
      <c r="R283" s="363">
        <v>0</v>
      </c>
      <c r="S283" s="363">
        <v>349</v>
      </c>
      <c r="U283" s="363">
        <v>1042</v>
      </c>
      <c r="V283" s="363">
        <v>0</v>
      </c>
      <c r="W283" s="363">
        <v>0</v>
      </c>
      <c r="X283" s="363">
        <v>-693</v>
      </c>
      <c r="Y283" s="363">
        <v>6</v>
      </c>
      <c r="Z283" s="363">
        <v>0</v>
      </c>
      <c r="AA283" s="363">
        <v>0</v>
      </c>
      <c r="AB283" s="363">
        <v>-687</v>
      </c>
      <c r="AD283" s="363">
        <v>1214</v>
      </c>
      <c r="AG283" s="363">
        <v>-699</v>
      </c>
      <c r="AH283" s="349"/>
      <c r="AJ283" s="363">
        <v>1591</v>
      </c>
      <c r="AL283" s="363">
        <v>16438</v>
      </c>
      <c r="AN283" s="349"/>
      <c r="AO283" s="454">
        <v>3065</v>
      </c>
      <c r="AP283" s="478">
        <v>22.5</v>
      </c>
      <c r="AQ283" s="213"/>
      <c r="AS283" s="509">
        <v>3194</v>
      </c>
      <c r="AT283" s="349">
        <v>23878</v>
      </c>
      <c r="AU283" s="480">
        <v>-20684</v>
      </c>
      <c r="AV283" s="199">
        <v>8876</v>
      </c>
      <c r="AW283" s="199">
        <v>679</v>
      </c>
      <c r="AX283" s="199">
        <v>650</v>
      </c>
      <c r="AY283" s="199">
        <v>10205</v>
      </c>
      <c r="AZ283" s="199">
        <v>11547</v>
      </c>
      <c r="BA283" s="181">
        <v>88</v>
      </c>
      <c r="BB283" s="511">
        <v>106</v>
      </c>
      <c r="BC283" s="181">
        <v>126</v>
      </c>
      <c r="BD283" s="181">
        <v>2</v>
      </c>
      <c r="BE283" s="199">
        <v>1174</v>
      </c>
      <c r="BG283" s="183">
        <v>1084</v>
      </c>
      <c r="BH283" s="199">
        <v>0</v>
      </c>
      <c r="BI283" s="183">
        <v>0</v>
      </c>
      <c r="BJ283" s="199">
        <v>90</v>
      </c>
      <c r="BK283" s="183">
        <v>6</v>
      </c>
      <c r="BL283" s="183">
        <v>0</v>
      </c>
      <c r="BM283" s="183">
        <v>0</v>
      </c>
      <c r="BN283" s="199">
        <v>96</v>
      </c>
      <c r="BP283" s="199">
        <v>1312</v>
      </c>
      <c r="BS283" s="211"/>
      <c r="BV283" s="514">
        <v>2088</v>
      </c>
      <c r="BX283" s="181">
        <v>16830</v>
      </c>
      <c r="BZ283" s="349"/>
      <c r="CB283" s="340"/>
      <c r="CC283" s="488">
        <v>22.5</v>
      </c>
      <c r="CD283" s="378"/>
      <c r="CE283" s="378"/>
      <c r="CF283" s="195"/>
      <c r="CG283" s="349"/>
      <c r="CI283" s="181">
        <v>8174</v>
      </c>
      <c r="CJ283" s="183">
        <v>500</v>
      </c>
      <c r="CK283" s="421">
        <v>11054.334102783216</v>
      </c>
      <c r="CL283" s="494">
        <v>11518.129992889051</v>
      </c>
      <c r="CM283" s="483">
        <v>2095.7519297458475</v>
      </c>
      <c r="CN283" s="483">
        <v>2033.1321621181455</v>
      </c>
      <c r="CO283" s="483">
        <v>2085.5063777104524</v>
      </c>
      <c r="CP283" s="433">
        <f t="shared" si="4"/>
        <v>-1238.3341027832157</v>
      </c>
      <c r="CQ283" s="212"/>
      <c r="CR283" s="212">
        <v>0</v>
      </c>
      <c r="CS283" s="212">
        <v>-1218</v>
      </c>
      <c r="CT283" s="183">
        <v>0</v>
      </c>
      <c r="CU283" s="183">
        <v>80</v>
      </c>
      <c r="CV283" s="485">
        <v>-2</v>
      </c>
      <c r="CX283" s="422"/>
      <c r="CY283" s="475"/>
      <c r="CZ283" s="450"/>
      <c r="DA283" s="394"/>
      <c r="DB283" s="394"/>
      <c r="DC283" s="347"/>
      <c r="DD283" s="394"/>
      <c r="DE283" s="394"/>
      <c r="DF283" s="394"/>
      <c r="DG283" s="394"/>
      <c r="DH283" s="394"/>
    </row>
    <row r="284" spans="1:112" x14ac:dyDescent="0.25">
      <c r="A284" s="179">
        <v>925</v>
      </c>
      <c r="B284" s="181" t="s">
        <v>307</v>
      </c>
      <c r="C284" s="373">
        <v>3579</v>
      </c>
      <c r="D284" s="360">
        <v>21</v>
      </c>
      <c r="E284" s="213"/>
      <c r="G284" s="363">
        <v>3739</v>
      </c>
      <c r="H284" s="363">
        <v>24843</v>
      </c>
      <c r="I284" s="349"/>
      <c r="J284" s="363">
        <v>10288</v>
      </c>
      <c r="K284" s="363">
        <v>3400</v>
      </c>
      <c r="L284" s="363">
        <v>897</v>
      </c>
      <c r="M284" s="363">
        <v>14585</v>
      </c>
      <c r="N284" s="363">
        <v>10529</v>
      </c>
      <c r="O284" s="363">
        <v>9</v>
      </c>
      <c r="P284" s="363">
        <v>82</v>
      </c>
      <c r="Q284" s="363">
        <v>510</v>
      </c>
      <c r="R284" s="363">
        <v>14</v>
      </c>
      <c r="S284" s="363">
        <v>4433</v>
      </c>
      <c r="U284" s="363">
        <v>1317</v>
      </c>
      <c r="V284" s="363">
        <v>0</v>
      </c>
      <c r="W284" s="363">
        <v>0</v>
      </c>
      <c r="X284" s="363">
        <v>3116</v>
      </c>
      <c r="Y284" s="363">
        <v>41</v>
      </c>
      <c r="Z284" s="363">
        <v>0</v>
      </c>
      <c r="AA284" s="363">
        <v>-1620</v>
      </c>
      <c r="AB284" s="363">
        <v>1537</v>
      </c>
      <c r="AD284" s="363">
        <v>6679</v>
      </c>
      <c r="AG284" s="363">
        <v>630</v>
      </c>
      <c r="AH284" s="349"/>
      <c r="AJ284" s="363">
        <v>6766</v>
      </c>
      <c r="AL284" s="363">
        <v>7613</v>
      </c>
      <c r="AN284" s="349"/>
      <c r="AO284" s="454">
        <v>3522</v>
      </c>
      <c r="AP284" s="478">
        <v>21</v>
      </c>
      <c r="AQ284" s="213"/>
      <c r="AS284" s="509">
        <v>1572</v>
      </c>
      <c r="AT284" s="349">
        <v>23917</v>
      </c>
      <c r="AU284" s="480">
        <v>-22345</v>
      </c>
      <c r="AV284" s="199">
        <v>9620</v>
      </c>
      <c r="AW284" s="199">
        <v>3609</v>
      </c>
      <c r="AX284" s="199">
        <v>1006</v>
      </c>
      <c r="AY284" s="199">
        <v>14235</v>
      </c>
      <c r="AZ284" s="199">
        <v>12117</v>
      </c>
      <c r="BA284" s="181">
        <v>10</v>
      </c>
      <c r="BB284" s="511">
        <v>76</v>
      </c>
      <c r="BC284" s="181">
        <v>409</v>
      </c>
      <c r="BD284" s="181">
        <v>11</v>
      </c>
      <c r="BE284" s="199">
        <v>4339</v>
      </c>
      <c r="BG284" s="183">
        <v>997</v>
      </c>
      <c r="BH284" s="183">
        <v>0</v>
      </c>
      <c r="BI284" s="183">
        <v>0</v>
      </c>
      <c r="BJ284" s="199">
        <v>3342</v>
      </c>
      <c r="BK284" s="199">
        <v>-459</v>
      </c>
      <c r="BL284" s="199">
        <v>-120</v>
      </c>
      <c r="BM284" s="183">
        <v>-1700</v>
      </c>
      <c r="BN284" s="199">
        <v>1063</v>
      </c>
      <c r="BP284" s="199">
        <v>7743</v>
      </c>
      <c r="BS284" s="211"/>
      <c r="BV284" s="514">
        <v>9659</v>
      </c>
      <c r="BX284" s="181">
        <v>6946</v>
      </c>
      <c r="BZ284" s="349"/>
      <c r="CB284" s="340"/>
      <c r="CC284" s="488">
        <v>21</v>
      </c>
      <c r="CD284" s="378"/>
      <c r="CE284" s="378"/>
      <c r="CF284" s="195"/>
      <c r="CG284" s="349"/>
      <c r="CI284" s="181">
        <v>8578</v>
      </c>
      <c r="CJ284" s="183">
        <v>0</v>
      </c>
      <c r="CK284" s="421">
        <v>11473.754986614425</v>
      </c>
      <c r="CL284" s="494">
        <v>11122.928976805239</v>
      </c>
      <c r="CM284" s="483">
        <v>3030.0765327082745</v>
      </c>
      <c r="CN284" s="483">
        <v>3040.07363810265</v>
      </c>
      <c r="CO284" s="483">
        <v>3118.1505715118542</v>
      </c>
      <c r="CP284" s="433">
        <f t="shared" si="4"/>
        <v>-944.75498661442543</v>
      </c>
      <c r="CQ284" s="212"/>
      <c r="CR284" s="212">
        <v>34</v>
      </c>
      <c r="CS284" s="212">
        <v>-968</v>
      </c>
      <c r="CT284" s="183">
        <v>0</v>
      </c>
      <c r="CU284" s="183">
        <v>5</v>
      </c>
      <c r="CV284" s="485">
        <v>45</v>
      </c>
      <c r="CX284" s="422"/>
      <c r="CY284" s="475"/>
      <c r="CZ284" s="450"/>
      <c r="DA284" s="394"/>
      <c r="DB284" s="394"/>
      <c r="DC284" s="347"/>
      <c r="DD284" s="394"/>
      <c r="DE284" s="394"/>
      <c r="DF284" s="394"/>
      <c r="DG284" s="394"/>
      <c r="DH284" s="394"/>
    </row>
    <row r="285" spans="1:112" x14ac:dyDescent="0.25">
      <c r="A285" s="179">
        <v>927</v>
      </c>
      <c r="B285" s="181" t="s">
        <v>308</v>
      </c>
      <c r="C285" s="373">
        <v>29158</v>
      </c>
      <c r="D285" s="360">
        <v>20.5</v>
      </c>
      <c r="E285" s="213"/>
      <c r="G285" s="363">
        <v>16376</v>
      </c>
      <c r="H285" s="363">
        <v>166572</v>
      </c>
      <c r="I285" s="349"/>
      <c r="J285" s="363">
        <v>114967</v>
      </c>
      <c r="K285" s="363">
        <v>3659</v>
      </c>
      <c r="L285" s="363">
        <v>7319</v>
      </c>
      <c r="M285" s="363">
        <v>125945</v>
      </c>
      <c r="N285" s="363">
        <v>24413</v>
      </c>
      <c r="O285" s="363">
        <v>33</v>
      </c>
      <c r="P285" s="363">
        <v>668</v>
      </c>
      <c r="Q285" s="363">
        <v>309</v>
      </c>
      <c r="R285" s="363">
        <v>29</v>
      </c>
      <c r="S285" s="363">
        <v>-193</v>
      </c>
      <c r="U285" s="363">
        <v>10508</v>
      </c>
      <c r="V285" s="363">
        <v>378</v>
      </c>
      <c r="W285" s="363">
        <v>157</v>
      </c>
      <c r="X285" s="363">
        <v>-10480</v>
      </c>
      <c r="Y285" s="363">
        <v>189</v>
      </c>
      <c r="Z285" s="363">
        <v>0</v>
      </c>
      <c r="AA285" s="363">
        <v>0</v>
      </c>
      <c r="AB285" s="363">
        <v>-10291</v>
      </c>
      <c r="AD285" s="363">
        <v>6662</v>
      </c>
      <c r="AG285" s="363">
        <v>-16115</v>
      </c>
      <c r="AH285" s="349"/>
      <c r="AJ285" s="363">
        <v>8026</v>
      </c>
      <c r="AL285" s="363">
        <v>114129</v>
      </c>
      <c r="AN285" s="349"/>
      <c r="AO285" s="454">
        <v>29160</v>
      </c>
      <c r="AP285" s="478">
        <v>20.5</v>
      </c>
      <c r="AQ285" s="213"/>
      <c r="AS285" s="509">
        <v>16513</v>
      </c>
      <c r="AT285" s="349">
        <v>165211</v>
      </c>
      <c r="AU285" s="480">
        <v>-148698</v>
      </c>
      <c r="AV285" s="199">
        <v>118445</v>
      </c>
      <c r="AW285" s="199">
        <v>3898</v>
      </c>
      <c r="AX285" s="199">
        <v>6581</v>
      </c>
      <c r="AY285" s="199">
        <v>128924</v>
      </c>
      <c r="AZ285" s="199">
        <v>40109</v>
      </c>
      <c r="BA285" s="181">
        <v>90</v>
      </c>
      <c r="BB285" s="511">
        <v>638</v>
      </c>
      <c r="BC285" s="181">
        <v>363</v>
      </c>
      <c r="BD285" s="181">
        <v>7</v>
      </c>
      <c r="BE285" s="199">
        <v>20143</v>
      </c>
      <c r="BG285" s="183">
        <v>13239</v>
      </c>
      <c r="BH285" s="183">
        <v>0</v>
      </c>
      <c r="BI285" s="183">
        <v>0</v>
      </c>
      <c r="BJ285" s="199">
        <v>6904</v>
      </c>
      <c r="BK285" s="199">
        <v>189</v>
      </c>
      <c r="BL285" s="183">
        <v>0</v>
      </c>
      <c r="BM285" s="183">
        <v>-3740</v>
      </c>
      <c r="BN285" s="199">
        <v>3353</v>
      </c>
      <c r="BP285" s="199">
        <v>9795</v>
      </c>
      <c r="BS285" s="211"/>
      <c r="BV285" s="514">
        <v>2875</v>
      </c>
      <c r="BX285" s="181">
        <v>102397</v>
      </c>
      <c r="BZ285" s="349"/>
      <c r="CB285" s="340"/>
      <c r="CC285" s="488">
        <v>20.5</v>
      </c>
      <c r="CD285" s="378"/>
      <c r="CE285" s="378"/>
      <c r="CF285" s="195"/>
      <c r="CG285" s="349"/>
      <c r="CI285" s="181">
        <v>23692</v>
      </c>
      <c r="CJ285" s="183">
        <v>0</v>
      </c>
      <c r="CK285" s="421">
        <v>32579.885048634183</v>
      </c>
      <c r="CL285" s="494">
        <v>34359.84110108095</v>
      </c>
      <c r="CM285" s="483">
        <v>12358.501632691878</v>
      </c>
      <c r="CN285" s="483">
        <v>12074.243307500768</v>
      </c>
      <c r="CO285" s="483">
        <v>12797.694195799153</v>
      </c>
      <c r="CP285" s="433">
        <f t="shared" si="4"/>
        <v>-8166.8850486341835</v>
      </c>
      <c r="CQ285" s="212"/>
      <c r="CR285" s="212">
        <v>-546</v>
      </c>
      <c r="CS285" s="212">
        <v>-9635</v>
      </c>
      <c r="CT285" s="183">
        <v>66</v>
      </c>
      <c r="CU285" s="183">
        <v>1602</v>
      </c>
      <c r="CV285" s="485">
        <v>60</v>
      </c>
      <c r="CX285" s="422"/>
      <c r="CY285" s="475"/>
      <c r="CZ285" s="450"/>
      <c r="DA285" s="394"/>
      <c r="DB285" s="394"/>
      <c r="DC285" s="347"/>
      <c r="DD285" s="394"/>
      <c r="DE285" s="394"/>
      <c r="DF285" s="394"/>
      <c r="DG285" s="394"/>
      <c r="DH285" s="394"/>
    </row>
    <row r="286" spans="1:112" x14ac:dyDescent="0.25">
      <c r="A286" s="179">
        <v>931</v>
      </c>
      <c r="B286" s="181" t="s">
        <v>309</v>
      </c>
      <c r="C286" s="373">
        <v>6176</v>
      </c>
      <c r="D286" s="360">
        <v>21</v>
      </c>
      <c r="E286" s="213"/>
      <c r="G286" s="363">
        <v>31334</v>
      </c>
      <c r="H286" s="363">
        <v>73920</v>
      </c>
      <c r="I286" s="349"/>
      <c r="J286" s="363">
        <v>16321</v>
      </c>
      <c r="K286" s="363">
        <v>2276</v>
      </c>
      <c r="L286" s="363">
        <v>1865</v>
      </c>
      <c r="M286" s="363">
        <v>20462</v>
      </c>
      <c r="N286" s="363">
        <v>23826</v>
      </c>
      <c r="O286" s="363">
        <v>64</v>
      </c>
      <c r="P286" s="363">
        <v>40</v>
      </c>
      <c r="Q286" s="363">
        <v>30</v>
      </c>
      <c r="R286" s="363">
        <v>114</v>
      </c>
      <c r="S286" s="363">
        <v>1642</v>
      </c>
      <c r="U286" s="363">
        <v>2654</v>
      </c>
      <c r="V286" s="363">
        <v>0</v>
      </c>
      <c r="W286" s="363">
        <v>29</v>
      </c>
      <c r="X286" s="363">
        <v>-1041</v>
      </c>
      <c r="Y286" s="363">
        <v>0</v>
      </c>
      <c r="Z286" s="363">
        <v>0</v>
      </c>
      <c r="AA286" s="363">
        <v>0</v>
      </c>
      <c r="AB286" s="363">
        <v>-1041</v>
      </c>
      <c r="AD286" s="363">
        <v>25187</v>
      </c>
      <c r="AG286" s="363">
        <v>-2112</v>
      </c>
      <c r="AH286" s="349"/>
      <c r="AJ286" s="363">
        <v>13795</v>
      </c>
      <c r="AL286" s="363">
        <v>14268</v>
      </c>
      <c r="AN286" s="349"/>
      <c r="AO286" s="454">
        <v>6097</v>
      </c>
      <c r="AP286" s="478">
        <v>21</v>
      </c>
      <c r="AQ286" s="213"/>
      <c r="AS286" s="509">
        <v>30463</v>
      </c>
      <c r="AT286" s="349">
        <v>74373</v>
      </c>
      <c r="AU286" s="480">
        <v>-43910</v>
      </c>
      <c r="AV286" s="199">
        <v>16515</v>
      </c>
      <c r="AW286" s="199">
        <v>2547</v>
      </c>
      <c r="AX286" s="199">
        <v>1677</v>
      </c>
      <c r="AY286" s="199">
        <v>20739</v>
      </c>
      <c r="AZ286" s="199">
        <v>26522</v>
      </c>
      <c r="BA286" s="181">
        <v>112</v>
      </c>
      <c r="BB286" s="511">
        <v>29</v>
      </c>
      <c r="BC286" s="181">
        <v>67</v>
      </c>
      <c r="BD286" s="181">
        <v>151</v>
      </c>
      <c r="BE286" s="199">
        <v>3350</v>
      </c>
      <c r="BG286" s="183">
        <v>2541</v>
      </c>
      <c r="BH286" s="183">
        <v>179</v>
      </c>
      <c r="BI286" s="183">
        <v>0</v>
      </c>
      <c r="BJ286" s="199">
        <v>988</v>
      </c>
      <c r="BK286" s="183">
        <v>0</v>
      </c>
      <c r="BL286" s="183">
        <v>0</v>
      </c>
      <c r="BM286" s="183">
        <v>0</v>
      </c>
      <c r="BN286" s="199">
        <v>988</v>
      </c>
      <c r="BP286" s="199">
        <v>26174</v>
      </c>
      <c r="BS286" s="211"/>
      <c r="BV286" s="514">
        <v>11561</v>
      </c>
      <c r="BX286" s="181">
        <v>13601</v>
      </c>
      <c r="BZ286" s="349"/>
      <c r="CB286" s="340"/>
      <c r="CC286" s="488">
        <v>21</v>
      </c>
      <c r="CD286" s="378"/>
      <c r="CE286" s="378"/>
      <c r="CF286" s="195"/>
      <c r="CG286" s="349"/>
      <c r="CI286" s="181">
        <v>20613</v>
      </c>
      <c r="CJ286" s="183">
        <v>0</v>
      </c>
      <c r="CK286" s="421">
        <v>26460.080082249107</v>
      </c>
      <c r="CL286" s="494">
        <v>27231.604929698602</v>
      </c>
      <c r="CM286" s="483">
        <v>8606.7894686156706</v>
      </c>
      <c r="CN286" s="483">
        <v>8328.4211225299132</v>
      </c>
      <c r="CO286" s="483">
        <v>7971.5132789584068</v>
      </c>
      <c r="CP286" s="433">
        <f t="shared" si="4"/>
        <v>-2634.0800822491074</v>
      </c>
      <c r="CQ286" s="212"/>
      <c r="CR286" s="212">
        <v>10</v>
      </c>
      <c r="CS286" s="212">
        <v>-8163</v>
      </c>
      <c r="CT286" s="183">
        <v>-16</v>
      </c>
      <c r="CU286" s="183">
        <v>4259</v>
      </c>
      <c r="CV286" s="485">
        <v>0</v>
      </c>
      <c r="CX286" s="422"/>
      <c r="CY286" s="475"/>
      <c r="CZ286" s="450"/>
      <c r="DA286" s="394"/>
      <c r="DB286" s="394"/>
      <c r="DC286" s="347"/>
      <c r="DD286" s="394"/>
      <c r="DE286" s="394"/>
      <c r="DF286" s="394"/>
      <c r="DG286" s="394"/>
      <c r="DH286" s="394"/>
    </row>
    <row r="287" spans="1:112" x14ac:dyDescent="0.25">
      <c r="A287" s="179">
        <v>934</v>
      </c>
      <c r="B287" s="181" t="s">
        <v>310</v>
      </c>
      <c r="C287" s="373">
        <v>2827</v>
      </c>
      <c r="D287" s="360">
        <v>22.25</v>
      </c>
      <c r="E287" s="213"/>
      <c r="G287" s="363">
        <v>3836</v>
      </c>
      <c r="H287" s="363">
        <v>22440</v>
      </c>
      <c r="I287" s="349"/>
      <c r="J287" s="363">
        <v>9102</v>
      </c>
      <c r="K287" s="363">
        <v>599</v>
      </c>
      <c r="L287" s="363">
        <v>817</v>
      </c>
      <c r="M287" s="363">
        <v>10518</v>
      </c>
      <c r="N287" s="363">
        <v>7887</v>
      </c>
      <c r="O287" s="363">
        <v>1</v>
      </c>
      <c r="P287" s="363">
        <v>63</v>
      </c>
      <c r="Q287" s="363">
        <v>47</v>
      </c>
      <c r="R287" s="363">
        <v>0</v>
      </c>
      <c r="S287" s="363">
        <v>-214</v>
      </c>
      <c r="U287" s="363">
        <v>940</v>
      </c>
      <c r="V287" s="363">
        <v>0</v>
      </c>
      <c r="W287" s="363">
        <v>0</v>
      </c>
      <c r="X287" s="363">
        <v>-1154</v>
      </c>
      <c r="Y287" s="363">
        <v>0</v>
      </c>
      <c r="Z287" s="363">
        <v>0</v>
      </c>
      <c r="AA287" s="363">
        <v>0</v>
      </c>
      <c r="AB287" s="363">
        <v>-1154</v>
      </c>
      <c r="AD287" s="363">
        <v>-1406</v>
      </c>
      <c r="AG287" s="363">
        <v>-1412</v>
      </c>
      <c r="AH287" s="349"/>
      <c r="AJ287" s="363">
        <v>1407</v>
      </c>
      <c r="AL287" s="363">
        <v>11447</v>
      </c>
      <c r="AN287" s="349"/>
      <c r="AO287" s="454">
        <v>2784</v>
      </c>
      <c r="AP287" s="478">
        <v>22.25</v>
      </c>
      <c r="AQ287" s="213"/>
      <c r="AS287" s="509">
        <v>4137</v>
      </c>
      <c r="AT287" s="349">
        <v>21320</v>
      </c>
      <c r="AU287" s="480">
        <v>-17183</v>
      </c>
      <c r="AV287" s="199">
        <v>8758</v>
      </c>
      <c r="AW287" s="199">
        <v>667</v>
      </c>
      <c r="AX287" s="199">
        <v>723</v>
      </c>
      <c r="AY287" s="199">
        <v>10148</v>
      </c>
      <c r="AZ287" s="199">
        <v>9286</v>
      </c>
      <c r="BA287" s="181">
        <v>0</v>
      </c>
      <c r="BB287" s="511">
        <v>64</v>
      </c>
      <c r="BC287" s="181">
        <v>36</v>
      </c>
      <c r="BD287" s="181">
        <v>2</v>
      </c>
      <c r="BE287" s="199">
        <v>2221</v>
      </c>
      <c r="BG287" s="183">
        <v>980</v>
      </c>
      <c r="BH287" s="183">
        <v>0</v>
      </c>
      <c r="BI287" s="199">
        <v>0</v>
      </c>
      <c r="BJ287" s="199">
        <v>1241</v>
      </c>
      <c r="BK287" s="199">
        <v>0</v>
      </c>
      <c r="BL287" s="183">
        <v>0</v>
      </c>
      <c r="BM287" s="183">
        <v>0</v>
      </c>
      <c r="BN287" s="199">
        <v>1241</v>
      </c>
      <c r="BP287" s="199">
        <v>-166</v>
      </c>
      <c r="BS287" s="211"/>
      <c r="BV287" s="514">
        <v>931</v>
      </c>
      <c r="BX287" s="181">
        <v>11640</v>
      </c>
      <c r="BZ287" s="349"/>
      <c r="CB287" s="340"/>
      <c r="CC287" s="488">
        <v>22.25</v>
      </c>
      <c r="CD287" s="378"/>
      <c r="CE287" s="378"/>
      <c r="CF287" s="195"/>
      <c r="CG287" s="349"/>
      <c r="CH287" s="347"/>
      <c r="CI287" s="181">
        <v>6408</v>
      </c>
      <c r="CJ287" s="183">
        <v>490</v>
      </c>
      <c r="CK287" s="421">
        <v>8941.1720438625325</v>
      </c>
      <c r="CL287" s="494">
        <v>9153.0309896716735</v>
      </c>
      <c r="CM287" s="483">
        <v>1204.0198486699512</v>
      </c>
      <c r="CN287" s="483">
        <v>1000.0860287808498</v>
      </c>
      <c r="CO287" s="483">
        <v>1078.8448111311077</v>
      </c>
      <c r="CP287" s="433">
        <f t="shared" si="4"/>
        <v>-1054.1720438625325</v>
      </c>
      <c r="CQ287" s="212"/>
      <c r="CR287" s="212">
        <v>-5</v>
      </c>
      <c r="CS287" s="212">
        <v>-2200</v>
      </c>
      <c r="CT287" s="183">
        <v>9</v>
      </c>
      <c r="CU287" s="183">
        <v>57</v>
      </c>
      <c r="CV287" s="485">
        <v>0</v>
      </c>
      <c r="CX287" s="422"/>
      <c r="CY287" s="475"/>
      <c r="CZ287" s="450"/>
      <c r="DA287" s="394"/>
      <c r="DB287" s="394"/>
      <c r="DC287" s="347"/>
      <c r="DD287" s="394"/>
      <c r="DE287" s="394"/>
      <c r="DF287" s="394"/>
      <c r="DG287" s="394"/>
      <c r="DH287" s="394"/>
    </row>
    <row r="288" spans="1:112" x14ac:dyDescent="0.25">
      <c r="A288" s="179">
        <v>935</v>
      </c>
      <c r="B288" s="181" t="s">
        <v>311</v>
      </c>
      <c r="C288" s="373">
        <v>3109</v>
      </c>
      <c r="D288" s="360">
        <v>20.5</v>
      </c>
      <c r="E288" s="213"/>
      <c r="G288" s="363">
        <v>7377</v>
      </c>
      <c r="H288" s="363">
        <v>26983</v>
      </c>
      <c r="I288" s="349"/>
      <c r="J288" s="363">
        <v>8753</v>
      </c>
      <c r="K288" s="363">
        <v>975</v>
      </c>
      <c r="L288" s="363">
        <v>1295</v>
      </c>
      <c r="M288" s="363">
        <v>11023</v>
      </c>
      <c r="N288" s="363">
        <v>9560</v>
      </c>
      <c r="O288" s="363">
        <v>30</v>
      </c>
      <c r="P288" s="363">
        <v>124</v>
      </c>
      <c r="Q288" s="363">
        <v>263</v>
      </c>
      <c r="R288" s="363">
        <v>4</v>
      </c>
      <c r="S288" s="363">
        <v>1142</v>
      </c>
      <c r="U288" s="363">
        <v>1429</v>
      </c>
      <c r="V288" s="363">
        <v>0</v>
      </c>
      <c r="W288" s="363">
        <v>0</v>
      </c>
      <c r="X288" s="363">
        <v>-287</v>
      </c>
      <c r="Y288" s="363">
        <v>0</v>
      </c>
      <c r="Z288" s="363">
        <v>0</v>
      </c>
      <c r="AA288" s="363">
        <v>0</v>
      </c>
      <c r="AB288" s="363">
        <v>-287</v>
      </c>
      <c r="AD288" s="363">
        <v>9131</v>
      </c>
      <c r="AG288" s="363">
        <v>-447</v>
      </c>
      <c r="AH288" s="349"/>
      <c r="AJ288" s="363">
        <v>2828</v>
      </c>
      <c r="AL288" s="363">
        <v>18100</v>
      </c>
      <c r="AN288" s="349"/>
      <c r="AO288" s="454">
        <v>3087</v>
      </c>
      <c r="AP288" s="478">
        <v>20.5</v>
      </c>
      <c r="AQ288" s="213"/>
      <c r="AS288" s="509">
        <v>5899</v>
      </c>
      <c r="AT288" s="349">
        <v>25570</v>
      </c>
      <c r="AU288" s="480">
        <v>-19671</v>
      </c>
      <c r="AV288" s="199">
        <v>8976</v>
      </c>
      <c r="AW288" s="199">
        <v>1049</v>
      </c>
      <c r="AX288" s="199">
        <v>1339</v>
      </c>
      <c r="AY288" s="199">
        <v>11364</v>
      </c>
      <c r="AZ288" s="199">
        <v>10650</v>
      </c>
      <c r="BA288" s="181">
        <v>36</v>
      </c>
      <c r="BB288" s="511">
        <v>156</v>
      </c>
      <c r="BC288" s="181">
        <v>292</v>
      </c>
      <c r="BD288" s="181">
        <v>1</v>
      </c>
      <c r="BE288" s="199">
        <v>2514</v>
      </c>
      <c r="BG288" s="183">
        <v>1700</v>
      </c>
      <c r="BH288" s="183">
        <v>0</v>
      </c>
      <c r="BI288" s="183">
        <v>0</v>
      </c>
      <c r="BJ288" s="199">
        <v>814</v>
      </c>
      <c r="BK288" s="199">
        <v>0</v>
      </c>
      <c r="BL288" s="183">
        <v>0</v>
      </c>
      <c r="BM288" s="183">
        <v>0</v>
      </c>
      <c r="BN288" s="199">
        <v>814</v>
      </c>
      <c r="BP288" s="199">
        <v>9945</v>
      </c>
      <c r="BS288" s="211"/>
      <c r="BV288" s="514">
        <v>3401</v>
      </c>
      <c r="BX288" s="181">
        <v>17700</v>
      </c>
      <c r="BZ288" s="349"/>
      <c r="CB288" s="340"/>
      <c r="CC288" s="488">
        <v>20.5</v>
      </c>
      <c r="CD288" s="378"/>
      <c r="CE288" s="378"/>
      <c r="CF288" s="195"/>
      <c r="CG288" s="349"/>
      <c r="CI288" s="181">
        <v>8836</v>
      </c>
      <c r="CJ288" s="183">
        <v>0</v>
      </c>
      <c r="CK288" s="421">
        <v>9763.1726936646064</v>
      </c>
      <c r="CL288" s="494">
        <v>9835.6868804422047</v>
      </c>
      <c r="CM288" s="483">
        <v>3930.661233451719</v>
      </c>
      <c r="CN288" s="483">
        <v>3742.256154025014</v>
      </c>
      <c r="CO288" s="483">
        <v>3651.9850803579507</v>
      </c>
      <c r="CP288" s="433">
        <f t="shared" si="4"/>
        <v>-203.17269366460641</v>
      </c>
      <c r="CQ288" s="212"/>
      <c r="CR288" s="212">
        <v>497</v>
      </c>
      <c r="CS288" s="212">
        <v>-1341</v>
      </c>
      <c r="CT288" s="183">
        <v>60</v>
      </c>
      <c r="CU288" s="183">
        <v>11</v>
      </c>
      <c r="CV288" s="485">
        <v>19</v>
      </c>
      <c r="CX288" s="422"/>
      <c r="CY288" s="475"/>
      <c r="CZ288" s="450"/>
      <c r="DA288" s="394"/>
      <c r="DB288" s="394"/>
      <c r="DC288" s="347"/>
      <c r="DD288" s="394"/>
      <c r="DE288" s="394"/>
      <c r="DF288" s="394"/>
      <c r="DG288" s="394"/>
      <c r="DH288" s="394"/>
    </row>
    <row r="289" spans="1:112" x14ac:dyDescent="0.25">
      <c r="A289" s="179">
        <v>936</v>
      </c>
      <c r="B289" s="181" t="s">
        <v>312</v>
      </c>
      <c r="C289" s="373">
        <v>6544</v>
      </c>
      <c r="D289" s="360">
        <v>21.25</v>
      </c>
      <c r="E289" s="213"/>
      <c r="G289" s="363">
        <v>34146</v>
      </c>
      <c r="H289" s="363">
        <v>78039</v>
      </c>
      <c r="I289" s="349"/>
      <c r="J289" s="363">
        <v>18558</v>
      </c>
      <c r="K289" s="363">
        <v>2447</v>
      </c>
      <c r="L289" s="363">
        <v>1914</v>
      </c>
      <c r="M289" s="363">
        <v>22919</v>
      </c>
      <c r="N289" s="363">
        <v>23198</v>
      </c>
      <c r="O289" s="363">
        <v>11</v>
      </c>
      <c r="P289" s="363">
        <v>85</v>
      </c>
      <c r="Q289" s="363">
        <v>865</v>
      </c>
      <c r="R289" s="363">
        <v>96</v>
      </c>
      <c r="S289" s="363">
        <v>2919</v>
      </c>
      <c r="U289" s="363">
        <v>3917</v>
      </c>
      <c r="V289" s="363">
        <v>0</v>
      </c>
      <c r="W289" s="363">
        <v>358</v>
      </c>
      <c r="X289" s="363">
        <v>-1356</v>
      </c>
      <c r="Y289" s="363">
        <v>144</v>
      </c>
      <c r="Z289" s="363">
        <v>0</v>
      </c>
      <c r="AA289" s="363">
        <v>0</v>
      </c>
      <c r="AB289" s="363">
        <v>-1212</v>
      </c>
      <c r="AD289" s="363">
        <v>15406</v>
      </c>
      <c r="AG289" s="363">
        <v>-6201</v>
      </c>
      <c r="AH289" s="349"/>
      <c r="AJ289" s="363">
        <v>7839</v>
      </c>
      <c r="AL289" s="363">
        <v>11662</v>
      </c>
      <c r="AN289" s="349"/>
      <c r="AO289" s="454">
        <v>6510</v>
      </c>
      <c r="AP289" s="478">
        <v>21.25</v>
      </c>
      <c r="AQ289" s="213"/>
      <c r="AS289" s="509">
        <v>33638</v>
      </c>
      <c r="AT289" s="349">
        <v>77094</v>
      </c>
      <c r="AU289" s="480">
        <v>-43439</v>
      </c>
      <c r="AV289" s="199">
        <v>18223</v>
      </c>
      <c r="AW289" s="199">
        <v>2781</v>
      </c>
      <c r="AX289" s="199">
        <v>1747</v>
      </c>
      <c r="AY289" s="199">
        <v>22751</v>
      </c>
      <c r="AZ289" s="199">
        <v>26995</v>
      </c>
      <c r="BA289" s="181">
        <v>23</v>
      </c>
      <c r="BB289" s="511">
        <v>93</v>
      </c>
      <c r="BC289" s="181">
        <v>420</v>
      </c>
      <c r="BD289" s="181">
        <v>8</v>
      </c>
      <c r="BE289" s="199">
        <v>6649</v>
      </c>
      <c r="BG289" s="183">
        <v>4227</v>
      </c>
      <c r="BH289" s="183">
        <v>0</v>
      </c>
      <c r="BI289" s="183">
        <v>0</v>
      </c>
      <c r="BJ289" s="199">
        <v>2422</v>
      </c>
      <c r="BK289" s="183">
        <v>144</v>
      </c>
      <c r="BL289" s="183">
        <v>-1400</v>
      </c>
      <c r="BM289" s="183">
        <v>0</v>
      </c>
      <c r="BN289" s="199">
        <v>1166</v>
      </c>
      <c r="BP289" s="199">
        <v>16572</v>
      </c>
      <c r="BS289" s="211"/>
      <c r="BV289" s="514">
        <v>9556</v>
      </c>
      <c r="BX289" s="181">
        <v>15333</v>
      </c>
      <c r="BZ289" s="349"/>
      <c r="CB289" s="340"/>
      <c r="CC289" s="488">
        <v>21.25</v>
      </c>
      <c r="CD289" s="378"/>
      <c r="CE289" s="378"/>
      <c r="CF289" s="195"/>
      <c r="CG289" s="349"/>
      <c r="CI289" s="181">
        <v>17547</v>
      </c>
      <c r="CJ289" s="183">
        <v>0</v>
      </c>
      <c r="CK289" s="421">
        <v>26614.766091945272</v>
      </c>
      <c r="CL289" s="494">
        <v>27746.122646896922</v>
      </c>
      <c r="CM289" s="483">
        <v>6844.0798418729355</v>
      </c>
      <c r="CN289" s="483">
        <v>6785.0900328549196</v>
      </c>
      <c r="CO289" s="483">
        <v>6530.3046809932166</v>
      </c>
      <c r="CP289" s="433">
        <f t="shared" si="4"/>
        <v>-3416.7660919452719</v>
      </c>
      <c r="CQ289" s="212"/>
      <c r="CR289" s="212">
        <v>-55</v>
      </c>
      <c r="CS289" s="212">
        <v>-11547</v>
      </c>
      <c r="CT289" s="183">
        <v>207</v>
      </c>
      <c r="CU289" s="183">
        <v>76</v>
      </c>
      <c r="CV289" s="485">
        <v>0</v>
      </c>
      <c r="CX289" s="422"/>
      <c r="CY289" s="475"/>
      <c r="CZ289" s="450"/>
      <c r="DA289" s="394"/>
      <c r="DB289" s="394"/>
      <c r="DC289" s="347"/>
      <c r="DD289" s="394"/>
      <c r="DE289" s="394"/>
      <c r="DF289" s="394"/>
      <c r="DG289" s="394"/>
      <c r="DH289" s="394"/>
    </row>
    <row r="290" spans="1:112" x14ac:dyDescent="0.25">
      <c r="A290" s="352">
        <v>946</v>
      </c>
      <c r="B290" s="349" t="s">
        <v>418</v>
      </c>
      <c r="C290" s="373">
        <v>6461</v>
      </c>
      <c r="D290" s="478">
        <v>21</v>
      </c>
      <c r="E290" s="429"/>
      <c r="F290" s="428"/>
      <c r="G290" s="363">
        <v>11606</v>
      </c>
      <c r="H290" s="363">
        <v>54524</v>
      </c>
      <c r="I290" s="362"/>
      <c r="J290" s="363">
        <v>19065</v>
      </c>
      <c r="K290" s="363">
        <v>1721</v>
      </c>
      <c r="L290" s="363">
        <v>1830</v>
      </c>
      <c r="M290" s="363">
        <v>22616</v>
      </c>
      <c r="N290" s="363">
        <v>18728</v>
      </c>
      <c r="O290" s="363">
        <v>5</v>
      </c>
      <c r="P290" s="363">
        <v>29</v>
      </c>
      <c r="Q290" s="363">
        <v>126</v>
      </c>
      <c r="R290" s="363">
        <v>28</v>
      </c>
      <c r="S290" s="363">
        <v>-1500</v>
      </c>
      <c r="T290" s="428"/>
      <c r="U290" s="363">
        <v>1694</v>
      </c>
      <c r="V290" s="363">
        <v>0</v>
      </c>
      <c r="W290" s="363">
        <v>0</v>
      </c>
      <c r="X290" s="363">
        <v>-3194</v>
      </c>
      <c r="Y290" s="363">
        <v>44</v>
      </c>
      <c r="Z290" s="363">
        <v>0</v>
      </c>
      <c r="AA290" s="363">
        <v>9</v>
      </c>
      <c r="AB290" s="363">
        <v>-3141</v>
      </c>
      <c r="AC290" s="428"/>
      <c r="AD290" s="363">
        <v>2604</v>
      </c>
      <c r="AE290" s="428"/>
      <c r="AF290" s="428"/>
      <c r="AG290" s="363">
        <v>-6171</v>
      </c>
      <c r="AH290" s="349"/>
      <c r="AI290" s="428"/>
      <c r="AJ290" s="363">
        <v>3394</v>
      </c>
      <c r="AK290" s="428"/>
      <c r="AL290" s="363">
        <v>17238</v>
      </c>
      <c r="AM290" s="428"/>
      <c r="AN290" s="349"/>
      <c r="AO290" s="508">
        <v>6388</v>
      </c>
      <c r="AP290" s="478">
        <v>21.5</v>
      </c>
      <c r="AQ290" s="429"/>
      <c r="AR290" s="428"/>
      <c r="AS290" s="509">
        <v>11905</v>
      </c>
      <c r="AT290" s="349">
        <v>53946</v>
      </c>
      <c r="AU290" s="481">
        <v>-42041</v>
      </c>
      <c r="AV290" s="510">
        <v>19837</v>
      </c>
      <c r="AW290" s="510">
        <v>1925</v>
      </c>
      <c r="AX290" s="510">
        <v>1761</v>
      </c>
      <c r="AY290" s="510">
        <v>23523</v>
      </c>
      <c r="AZ290" s="510">
        <v>22065</v>
      </c>
      <c r="BA290" s="510">
        <v>7</v>
      </c>
      <c r="BB290" s="510">
        <v>94</v>
      </c>
      <c r="BC290" s="510">
        <v>105</v>
      </c>
      <c r="BD290" s="510">
        <v>21</v>
      </c>
      <c r="BE290" s="510">
        <v>3544</v>
      </c>
      <c r="BF290" s="428"/>
      <c r="BG290" s="510">
        <v>1643</v>
      </c>
      <c r="BH290" s="510">
        <v>0</v>
      </c>
      <c r="BI290" s="510">
        <v>0</v>
      </c>
      <c r="BJ290" s="510">
        <v>1901</v>
      </c>
      <c r="BK290" s="510">
        <v>-1356</v>
      </c>
      <c r="BL290" s="510">
        <v>750</v>
      </c>
      <c r="BM290" s="510">
        <v>-7</v>
      </c>
      <c r="BN290" s="510">
        <v>1288</v>
      </c>
      <c r="BO290" s="428"/>
      <c r="BP290" s="510">
        <v>3892</v>
      </c>
      <c r="BQ290" s="428"/>
      <c r="BR290" s="428"/>
      <c r="BS290" s="428"/>
      <c r="BT290" s="428"/>
      <c r="BU290" s="428"/>
      <c r="BV290" s="510">
        <v>6473</v>
      </c>
      <c r="BW290" s="428"/>
      <c r="BX290" s="510">
        <v>27336</v>
      </c>
      <c r="BY290" s="428"/>
      <c r="BZ290" s="349"/>
      <c r="CA290" s="428"/>
      <c r="CB290" s="430"/>
      <c r="CC290" s="431">
        <v>21.5</v>
      </c>
      <c r="CD290" s="378"/>
      <c r="CE290" s="431"/>
      <c r="CF290" s="428"/>
      <c r="CG290" s="349"/>
      <c r="CH290" s="428"/>
      <c r="CI290" s="428">
        <v>16840</v>
      </c>
      <c r="CJ290" s="428">
        <v>0</v>
      </c>
      <c r="CK290" s="492">
        <v>20747.368252565189</v>
      </c>
      <c r="CL290" s="495">
        <v>21278.92326269269</v>
      </c>
      <c r="CM290" s="481">
        <v>9958.6873963656926</v>
      </c>
      <c r="CN290" s="475">
        <v>10278.60496718172</v>
      </c>
      <c r="CO290" s="475">
        <v>10271.629826769358</v>
      </c>
      <c r="CP290" s="433">
        <f t="shared" si="4"/>
        <v>-2019.3682525651893</v>
      </c>
      <c r="CQ290" s="428"/>
      <c r="CR290" s="481">
        <v>-1663</v>
      </c>
      <c r="CS290" s="481">
        <v>-8702</v>
      </c>
      <c r="CT290" s="510">
        <v>237</v>
      </c>
      <c r="CU290" s="510">
        <v>50</v>
      </c>
      <c r="CV290" s="485">
        <v>0</v>
      </c>
      <c r="CW290" s="357"/>
      <c r="CX290" s="347"/>
      <c r="CY290" s="475"/>
      <c r="CZ290" s="394"/>
      <c r="DA290" s="394"/>
      <c r="DB290" s="394"/>
      <c r="DC290" s="347"/>
      <c r="DD290" s="394"/>
      <c r="DE290" s="394"/>
      <c r="DF290" s="394"/>
      <c r="DG290" s="394"/>
      <c r="DH290" s="394"/>
    </row>
    <row r="291" spans="1:112" x14ac:dyDescent="0.25">
      <c r="A291" s="179">
        <v>976</v>
      </c>
      <c r="B291" s="181" t="s">
        <v>313</v>
      </c>
      <c r="C291" s="373">
        <v>3918</v>
      </c>
      <c r="D291" s="360">
        <v>20</v>
      </c>
      <c r="E291" s="213"/>
      <c r="G291" s="363">
        <v>11151</v>
      </c>
      <c r="H291" s="363">
        <v>40660</v>
      </c>
      <c r="I291" s="349"/>
      <c r="J291" s="363">
        <v>10568</v>
      </c>
      <c r="K291" s="363">
        <v>740</v>
      </c>
      <c r="L291" s="363">
        <v>1261</v>
      </c>
      <c r="M291" s="363">
        <v>12569</v>
      </c>
      <c r="N291" s="363">
        <v>18109</v>
      </c>
      <c r="O291" s="363">
        <v>6</v>
      </c>
      <c r="P291" s="363">
        <v>1</v>
      </c>
      <c r="Q291" s="363">
        <v>325</v>
      </c>
      <c r="R291" s="363">
        <v>-190</v>
      </c>
      <c r="S291" s="363">
        <v>1689</v>
      </c>
      <c r="U291" s="363">
        <v>1500</v>
      </c>
      <c r="V291" s="363">
        <v>0</v>
      </c>
      <c r="W291" s="363">
        <v>0</v>
      </c>
      <c r="X291" s="363">
        <v>189</v>
      </c>
      <c r="Y291" s="363">
        <v>63</v>
      </c>
      <c r="Z291" s="363">
        <v>130</v>
      </c>
      <c r="AA291" s="363">
        <v>53</v>
      </c>
      <c r="AB291" s="363">
        <v>435</v>
      </c>
      <c r="AD291" s="363">
        <v>7905</v>
      </c>
      <c r="AG291" s="363">
        <v>-1360</v>
      </c>
      <c r="AH291" s="349"/>
      <c r="AJ291" s="363">
        <v>9236</v>
      </c>
      <c r="AL291" s="363">
        <v>557</v>
      </c>
      <c r="AN291" s="349"/>
      <c r="AO291" s="454">
        <v>3890</v>
      </c>
      <c r="AP291" s="478">
        <v>20</v>
      </c>
      <c r="AQ291" s="213"/>
      <c r="AS291" s="509">
        <v>10417</v>
      </c>
      <c r="AT291" s="349">
        <v>40970</v>
      </c>
      <c r="AU291" s="480">
        <v>-30553</v>
      </c>
      <c r="AV291" s="199">
        <v>10594</v>
      </c>
      <c r="AW291" s="199">
        <v>766</v>
      </c>
      <c r="AX291" s="199">
        <v>1153</v>
      </c>
      <c r="AY291" s="199">
        <v>12513</v>
      </c>
      <c r="AZ291" s="199">
        <v>20154</v>
      </c>
      <c r="BA291" s="181">
        <v>3</v>
      </c>
      <c r="BB291" s="511">
        <v>1</v>
      </c>
      <c r="BC291" s="181">
        <v>64</v>
      </c>
      <c r="BD291" s="181">
        <v>6</v>
      </c>
      <c r="BE291" s="199">
        <v>2174</v>
      </c>
      <c r="BG291" s="183">
        <v>1388</v>
      </c>
      <c r="BH291" s="183">
        <v>0</v>
      </c>
      <c r="BI291" s="183">
        <v>0</v>
      </c>
      <c r="BJ291" s="199">
        <v>786</v>
      </c>
      <c r="BK291" s="183">
        <v>-22</v>
      </c>
      <c r="BL291" s="183">
        <v>199</v>
      </c>
      <c r="BM291" s="183">
        <v>377</v>
      </c>
      <c r="BN291" s="199">
        <v>1340</v>
      </c>
      <c r="BP291" s="199">
        <v>9246</v>
      </c>
      <c r="BS291" s="211"/>
      <c r="BV291" s="514">
        <v>9799</v>
      </c>
      <c r="BX291" s="181">
        <v>534</v>
      </c>
      <c r="BZ291" s="349"/>
      <c r="CB291" s="340"/>
      <c r="CC291" s="488">
        <v>20</v>
      </c>
      <c r="CD291" s="378"/>
      <c r="CE291" s="378"/>
      <c r="CF291" s="195"/>
      <c r="CG291" s="349"/>
      <c r="CI291" s="181">
        <v>15882</v>
      </c>
      <c r="CJ291" s="183">
        <v>0</v>
      </c>
      <c r="CK291" s="421">
        <v>20119.079032472531</v>
      </c>
      <c r="CL291" s="494">
        <v>20680.853588918708</v>
      </c>
      <c r="CM291" s="483">
        <v>5490.0055969133109</v>
      </c>
      <c r="CN291" s="483">
        <v>5173.5420215457816</v>
      </c>
      <c r="CO291" s="483">
        <v>5178.0335335223162</v>
      </c>
      <c r="CP291" s="433">
        <f t="shared" si="4"/>
        <v>-2010.0790324725313</v>
      </c>
      <c r="CQ291" s="212"/>
      <c r="CR291" s="212">
        <v>0</v>
      </c>
      <c r="CS291" s="212">
        <v>-2491</v>
      </c>
      <c r="CT291" s="183">
        <v>0</v>
      </c>
      <c r="CU291" s="183">
        <v>10</v>
      </c>
      <c r="CV291" s="485">
        <v>54</v>
      </c>
      <c r="CX291" s="422"/>
      <c r="CY291" s="475"/>
      <c r="CZ291" s="450"/>
      <c r="DA291" s="394"/>
      <c r="DB291" s="394"/>
      <c r="DC291" s="347"/>
      <c r="DD291" s="394"/>
      <c r="DE291" s="394"/>
      <c r="DF291" s="394"/>
      <c r="DG291" s="394"/>
      <c r="DH291" s="394"/>
    </row>
    <row r="292" spans="1:112" x14ac:dyDescent="0.25">
      <c r="A292" s="179">
        <v>977</v>
      </c>
      <c r="B292" s="181" t="s">
        <v>314</v>
      </c>
      <c r="C292" s="373">
        <v>15255</v>
      </c>
      <c r="D292" s="360">
        <v>22</v>
      </c>
      <c r="E292" s="213"/>
      <c r="G292" s="363">
        <v>40037</v>
      </c>
      <c r="H292" s="363">
        <v>132937</v>
      </c>
      <c r="I292" s="349"/>
      <c r="J292" s="363">
        <v>46959</v>
      </c>
      <c r="K292" s="363">
        <v>3037</v>
      </c>
      <c r="L292" s="363">
        <v>5043</v>
      </c>
      <c r="M292" s="363">
        <v>55039</v>
      </c>
      <c r="N292" s="363">
        <v>37998</v>
      </c>
      <c r="O292" s="363">
        <v>208</v>
      </c>
      <c r="P292" s="363">
        <v>393</v>
      </c>
      <c r="Q292" s="363">
        <v>123</v>
      </c>
      <c r="R292" s="363">
        <v>2</v>
      </c>
      <c r="S292" s="363">
        <v>73</v>
      </c>
      <c r="U292" s="363">
        <v>5846</v>
      </c>
      <c r="V292" s="363">
        <v>0</v>
      </c>
      <c r="W292" s="363">
        <v>0</v>
      </c>
      <c r="X292" s="363">
        <v>-5773</v>
      </c>
      <c r="Y292" s="363">
        <v>398</v>
      </c>
      <c r="Z292" s="363">
        <v>0</v>
      </c>
      <c r="AA292" s="363">
        <v>0</v>
      </c>
      <c r="AB292" s="363">
        <v>-5375</v>
      </c>
      <c r="AD292" s="363">
        <v>-10862</v>
      </c>
      <c r="AG292" s="363">
        <v>-18800</v>
      </c>
      <c r="AH292" s="349"/>
      <c r="AJ292" s="363">
        <v>6196</v>
      </c>
      <c r="AL292" s="363">
        <v>109044</v>
      </c>
      <c r="AN292" s="349"/>
      <c r="AO292" s="454">
        <v>15304</v>
      </c>
      <c r="AP292" s="478">
        <v>22</v>
      </c>
      <c r="AQ292" s="213"/>
      <c r="AS292" s="509">
        <v>40012</v>
      </c>
      <c r="AT292" s="349">
        <v>133211</v>
      </c>
      <c r="AU292" s="480">
        <v>-93199</v>
      </c>
      <c r="AV292" s="199">
        <v>49681</v>
      </c>
      <c r="AW292" s="199">
        <v>3248</v>
      </c>
      <c r="AX292" s="199">
        <v>4549</v>
      </c>
      <c r="AY292" s="199">
        <v>57478</v>
      </c>
      <c r="AZ292" s="199">
        <v>47462</v>
      </c>
      <c r="BA292" s="181">
        <v>171</v>
      </c>
      <c r="BB292" s="511">
        <v>725</v>
      </c>
      <c r="BC292" s="181">
        <v>75</v>
      </c>
      <c r="BD292" s="181">
        <v>29</v>
      </c>
      <c r="BE292" s="199">
        <v>11233</v>
      </c>
      <c r="BG292" s="183">
        <v>5841</v>
      </c>
      <c r="BH292" s="183">
        <v>0</v>
      </c>
      <c r="BI292" s="183">
        <v>0</v>
      </c>
      <c r="BJ292" s="199">
        <v>5392</v>
      </c>
      <c r="BK292" s="183">
        <v>330</v>
      </c>
      <c r="BL292" s="183">
        <v>0</v>
      </c>
      <c r="BM292" s="183">
        <v>0</v>
      </c>
      <c r="BN292" s="199">
        <v>5722</v>
      </c>
      <c r="BP292" s="199">
        <v>-5139</v>
      </c>
      <c r="BS292" s="211"/>
      <c r="BV292" s="514">
        <v>6227</v>
      </c>
      <c r="BX292" s="181">
        <v>121316</v>
      </c>
      <c r="BZ292" s="349"/>
      <c r="CB292" s="340"/>
      <c r="CC292" s="488">
        <v>22</v>
      </c>
      <c r="CD292" s="378"/>
      <c r="CE292" s="378"/>
      <c r="CF292" s="195"/>
      <c r="CG292" s="349"/>
      <c r="CH292" s="347"/>
      <c r="CI292" s="181">
        <v>25380</v>
      </c>
      <c r="CJ292" s="183">
        <v>0</v>
      </c>
      <c r="CK292" s="421">
        <v>44472.553198895235</v>
      </c>
      <c r="CL292" s="494">
        <v>48718.795843703396</v>
      </c>
      <c r="CM292" s="483">
        <v>16444.178457530921</v>
      </c>
      <c r="CN292" s="483">
        <v>17227.026747331365</v>
      </c>
      <c r="CO292" s="483">
        <v>17962.168807646362</v>
      </c>
      <c r="CP292" s="433">
        <f t="shared" si="4"/>
        <v>-6474.5531988952353</v>
      </c>
      <c r="CQ292" s="212"/>
      <c r="CR292" s="212">
        <v>-503</v>
      </c>
      <c r="CS292" s="212">
        <v>-22758</v>
      </c>
      <c r="CT292" s="183">
        <v>222</v>
      </c>
      <c r="CU292" s="183">
        <v>741</v>
      </c>
      <c r="CV292" s="485">
        <v>462</v>
      </c>
      <c r="CX292" s="422"/>
      <c r="CY292" s="475"/>
      <c r="CZ292" s="450"/>
      <c r="DA292" s="394"/>
      <c r="DB292" s="394"/>
      <c r="DC292" s="347"/>
      <c r="DD292" s="394"/>
      <c r="DE292" s="394"/>
      <c r="DF292" s="394"/>
      <c r="DG292" s="394"/>
      <c r="DH292" s="394"/>
    </row>
    <row r="293" spans="1:112" x14ac:dyDescent="0.25">
      <c r="A293" s="179">
        <v>980</v>
      </c>
      <c r="B293" s="181" t="s">
        <v>315</v>
      </c>
      <c r="C293" s="373">
        <v>33254</v>
      </c>
      <c r="D293" s="360">
        <v>20.5</v>
      </c>
      <c r="E293" s="213"/>
      <c r="G293" s="363">
        <v>28081</v>
      </c>
      <c r="H293" s="363">
        <v>196419</v>
      </c>
      <c r="I293" s="349"/>
      <c r="J293" s="363">
        <v>116140</v>
      </c>
      <c r="K293" s="363">
        <v>6099</v>
      </c>
      <c r="L293" s="363">
        <v>7564</v>
      </c>
      <c r="M293" s="363">
        <v>129803</v>
      </c>
      <c r="N293" s="363">
        <v>41491</v>
      </c>
      <c r="O293" s="363">
        <v>478</v>
      </c>
      <c r="P293" s="363">
        <v>1215</v>
      </c>
      <c r="Q293" s="363">
        <v>2346</v>
      </c>
      <c r="R293" s="363">
        <v>383</v>
      </c>
      <c r="S293" s="363">
        <v>4182</v>
      </c>
      <c r="U293" s="363">
        <v>10231</v>
      </c>
      <c r="V293" s="363">
        <v>0</v>
      </c>
      <c r="W293" s="363">
        <v>0</v>
      </c>
      <c r="X293" s="363">
        <v>-6049</v>
      </c>
      <c r="Y293" s="363">
        <v>-796</v>
      </c>
      <c r="Z293" s="363">
        <v>1267</v>
      </c>
      <c r="AA293" s="363">
        <v>0</v>
      </c>
      <c r="AB293" s="363">
        <v>-5578</v>
      </c>
      <c r="AD293" s="363">
        <v>45690</v>
      </c>
      <c r="AG293" s="363">
        <v>-11222</v>
      </c>
      <c r="AH293" s="349"/>
      <c r="AJ293" s="363">
        <v>21688</v>
      </c>
      <c r="AL293" s="363">
        <v>85350</v>
      </c>
      <c r="AN293" s="349"/>
      <c r="AO293" s="454">
        <v>33352</v>
      </c>
      <c r="AP293" s="478">
        <v>20.5</v>
      </c>
      <c r="AQ293" s="213"/>
      <c r="AS293" s="509">
        <v>27142</v>
      </c>
      <c r="AT293" s="349">
        <v>199600</v>
      </c>
      <c r="AU293" s="480">
        <v>-172458</v>
      </c>
      <c r="AV293" s="199">
        <v>120752</v>
      </c>
      <c r="AW293" s="199">
        <v>7019</v>
      </c>
      <c r="AX293" s="199">
        <v>6721</v>
      </c>
      <c r="AY293" s="199">
        <v>134492</v>
      </c>
      <c r="AZ293" s="199">
        <v>54347</v>
      </c>
      <c r="BA293" s="181">
        <v>476</v>
      </c>
      <c r="BB293" s="511">
        <v>1149</v>
      </c>
      <c r="BC293" s="181">
        <v>2295</v>
      </c>
      <c r="BD293" s="181">
        <v>459</v>
      </c>
      <c r="BE293" s="199">
        <v>17544</v>
      </c>
      <c r="BG293" s="183">
        <v>11042</v>
      </c>
      <c r="BH293" s="199">
        <v>0</v>
      </c>
      <c r="BI293" s="183">
        <v>0</v>
      </c>
      <c r="BJ293" s="199">
        <v>6502</v>
      </c>
      <c r="BK293" s="183">
        <v>-106</v>
      </c>
      <c r="BL293" s="183">
        <v>-3700</v>
      </c>
      <c r="BM293" s="183">
        <v>0</v>
      </c>
      <c r="BN293" s="199">
        <v>2696</v>
      </c>
      <c r="BP293" s="199">
        <v>49120</v>
      </c>
      <c r="BS293" s="211"/>
      <c r="BV293" s="514">
        <v>24442</v>
      </c>
      <c r="BX293" s="181">
        <v>82160</v>
      </c>
      <c r="BZ293" s="349"/>
      <c r="CB293" s="340"/>
      <c r="CC293" s="488">
        <v>20.5</v>
      </c>
      <c r="CD293" s="378"/>
      <c r="CE293" s="378"/>
      <c r="CF293" s="195"/>
      <c r="CG293" s="349"/>
      <c r="CI293" s="181">
        <v>34476</v>
      </c>
      <c r="CJ293" s="183">
        <v>0</v>
      </c>
      <c r="CK293" s="421">
        <v>47903.84257163672</v>
      </c>
      <c r="CL293" s="494">
        <v>50070.227717478032</v>
      </c>
      <c r="CM293" s="483">
        <v>26675.690690143783</v>
      </c>
      <c r="CN293" s="483">
        <v>26073.02884599473</v>
      </c>
      <c r="CO293" s="483">
        <v>26161.603495750809</v>
      </c>
      <c r="CP293" s="433">
        <f t="shared" si="4"/>
        <v>-6412.8425716367201</v>
      </c>
      <c r="CQ293" s="212"/>
      <c r="CR293" s="212">
        <v>-1869</v>
      </c>
      <c r="CS293" s="212">
        <v>-10862</v>
      </c>
      <c r="CT293" s="183">
        <v>103</v>
      </c>
      <c r="CU293" s="183">
        <v>1803</v>
      </c>
      <c r="CV293" s="485">
        <v>570</v>
      </c>
      <c r="CX293" s="422"/>
      <c r="CY293" s="475"/>
      <c r="CZ293" s="450"/>
      <c r="DA293" s="394"/>
      <c r="DB293" s="394"/>
      <c r="DC293" s="347"/>
      <c r="DD293" s="394"/>
      <c r="DE293" s="394"/>
      <c r="DF293" s="394"/>
      <c r="DG293" s="394"/>
      <c r="DH293" s="394"/>
    </row>
    <row r="294" spans="1:112" x14ac:dyDescent="0.25">
      <c r="A294" s="179">
        <v>981</v>
      </c>
      <c r="B294" s="181" t="s">
        <v>316</v>
      </c>
      <c r="C294" s="373">
        <v>2343</v>
      </c>
      <c r="D294" s="360">
        <v>21.5</v>
      </c>
      <c r="E294" s="213"/>
      <c r="G294" s="363">
        <v>4684</v>
      </c>
      <c r="H294" s="363">
        <v>17319</v>
      </c>
      <c r="I294" s="349"/>
      <c r="J294" s="363">
        <v>7171</v>
      </c>
      <c r="K294" s="363">
        <v>303</v>
      </c>
      <c r="L294" s="363">
        <v>529</v>
      </c>
      <c r="M294" s="363">
        <v>8003</v>
      </c>
      <c r="N294" s="363">
        <v>4785</v>
      </c>
      <c r="O294" s="363">
        <v>1</v>
      </c>
      <c r="P294" s="363">
        <v>0</v>
      </c>
      <c r="Q294" s="363">
        <v>7</v>
      </c>
      <c r="R294" s="363">
        <v>3</v>
      </c>
      <c r="S294" s="363">
        <v>158</v>
      </c>
      <c r="U294" s="363">
        <v>611</v>
      </c>
      <c r="V294" s="363">
        <v>0</v>
      </c>
      <c r="W294" s="363">
        <v>0</v>
      </c>
      <c r="X294" s="363">
        <v>-453</v>
      </c>
      <c r="Y294" s="363">
        <v>13</v>
      </c>
      <c r="Z294" s="363">
        <v>0</v>
      </c>
      <c r="AA294" s="363">
        <v>0</v>
      </c>
      <c r="AB294" s="363">
        <v>-440</v>
      </c>
      <c r="AD294" s="363">
        <v>493</v>
      </c>
      <c r="AG294" s="363">
        <v>-841</v>
      </c>
      <c r="AH294" s="349"/>
      <c r="AJ294" s="363">
        <v>774</v>
      </c>
      <c r="AL294" s="363">
        <v>3833</v>
      </c>
      <c r="AN294" s="349"/>
      <c r="AO294" s="454">
        <v>2314</v>
      </c>
      <c r="AP294" s="478">
        <v>22</v>
      </c>
      <c r="AQ294" s="213"/>
      <c r="AS294" s="509">
        <v>2311</v>
      </c>
      <c r="AT294" s="349">
        <v>14504</v>
      </c>
      <c r="AU294" s="480">
        <v>-12193</v>
      </c>
      <c r="AV294" s="199">
        <v>7563</v>
      </c>
      <c r="AW294" s="199">
        <v>324</v>
      </c>
      <c r="AX294" s="199">
        <v>482</v>
      </c>
      <c r="AY294" s="199">
        <v>8369</v>
      </c>
      <c r="AZ294" s="199">
        <v>5790</v>
      </c>
      <c r="BA294" s="181">
        <v>0</v>
      </c>
      <c r="BB294" s="511">
        <v>4</v>
      </c>
      <c r="BC294" s="181">
        <v>8</v>
      </c>
      <c r="BD294" s="181">
        <v>-1</v>
      </c>
      <c r="BE294" s="199">
        <v>1979</v>
      </c>
      <c r="BG294" s="183">
        <v>640</v>
      </c>
      <c r="BH294" s="183">
        <v>0</v>
      </c>
      <c r="BI294" s="183">
        <v>0</v>
      </c>
      <c r="BJ294" s="199">
        <v>1339</v>
      </c>
      <c r="BK294" s="199">
        <v>13</v>
      </c>
      <c r="BL294" s="199">
        <v>0</v>
      </c>
      <c r="BM294" s="183">
        <v>0</v>
      </c>
      <c r="BN294" s="199">
        <v>1352</v>
      </c>
      <c r="BP294" s="199">
        <v>1844</v>
      </c>
      <c r="BS294" s="211"/>
      <c r="BV294" s="514">
        <v>1868</v>
      </c>
      <c r="BX294" s="181">
        <v>3485</v>
      </c>
      <c r="BZ294" s="349"/>
      <c r="CB294" s="340"/>
      <c r="CC294" s="488">
        <v>22</v>
      </c>
      <c r="CD294" s="378"/>
      <c r="CE294" s="378"/>
      <c r="CF294" s="195"/>
      <c r="CG294" s="349"/>
      <c r="CI294" s="181">
        <v>5419</v>
      </c>
      <c r="CJ294" s="183">
        <v>0</v>
      </c>
      <c r="CK294" s="421">
        <v>5411.8391931182059</v>
      </c>
      <c r="CL294" s="494">
        <v>5317.9705298603712</v>
      </c>
      <c r="CM294" s="483">
        <v>1534.2020540590556</v>
      </c>
      <c r="CN294" s="483">
        <v>1163.39380084921</v>
      </c>
      <c r="CO294" s="483">
        <v>1101.2949386577684</v>
      </c>
      <c r="CP294" s="433">
        <f t="shared" si="4"/>
        <v>-626.83919311820591</v>
      </c>
      <c r="CQ294" s="212"/>
      <c r="CR294" s="212">
        <v>-7</v>
      </c>
      <c r="CS294" s="212">
        <v>-42</v>
      </c>
      <c r="CT294" s="183">
        <v>13</v>
      </c>
      <c r="CU294" s="183">
        <v>139</v>
      </c>
      <c r="CV294" s="485">
        <v>7</v>
      </c>
      <c r="CX294" s="422"/>
      <c r="CY294" s="475"/>
      <c r="CZ294" s="450"/>
      <c r="DA294" s="394"/>
      <c r="DB294" s="394"/>
      <c r="DC294" s="347"/>
      <c r="DD294" s="394"/>
      <c r="DE294" s="394"/>
      <c r="DF294" s="394"/>
      <c r="DG294" s="394"/>
      <c r="DH294" s="394"/>
    </row>
    <row r="295" spans="1:112" x14ac:dyDescent="0.25">
      <c r="A295" s="179">
        <v>989</v>
      </c>
      <c r="B295" s="181" t="s">
        <v>317</v>
      </c>
      <c r="C295" s="373">
        <v>5616</v>
      </c>
      <c r="D295" s="360">
        <v>22</v>
      </c>
      <c r="E295" s="213"/>
      <c r="G295" s="363">
        <v>4173</v>
      </c>
      <c r="H295" s="363">
        <v>42404</v>
      </c>
      <c r="I295" s="349"/>
      <c r="J295" s="363">
        <v>16830</v>
      </c>
      <c r="K295" s="363">
        <v>1424</v>
      </c>
      <c r="L295" s="363">
        <v>2093</v>
      </c>
      <c r="M295" s="363">
        <v>20347</v>
      </c>
      <c r="N295" s="363">
        <v>18356</v>
      </c>
      <c r="O295" s="363">
        <v>13</v>
      </c>
      <c r="P295" s="363">
        <v>4</v>
      </c>
      <c r="Q295" s="363">
        <v>486</v>
      </c>
      <c r="R295" s="363">
        <v>227</v>
      </c>
      <c r="S295" s="363">
        <v>740</v>
      </c>
      <c r="U295" s="363">
        <v>2945</v>
      </c>
      <c r="V295" s="363">
        <v>5200</v>
      </c>
      <c r="W295" s="363">
        <v>351</v>
      </c>
      <c r="X295" s="363">
        <v>2644</v>
      </c>
      <c r="Y295" s="363">
        <v>0</v>
      </c>
      <c r="Z295" s="363">
        <v>0</v>
      </c>
      <c r="AA295" s="363">
        <v>0</v>
      </c>
      <c r="AB295" s="363">
        <v>2644</v>
      </c>
      <c r="AD295" s="363">
        <v>2535</v>
      </c>
      <c r="AG295" s="363">
        <v>-3458</v>
      </c>
      <c r="AH295" s="349"/>
      <c r="AJ295" s="363">
        <v>639</v>
      </c>
      <c r="AL295" s="363">
        <v>26500</v>
      </c>
      <c r="AN295" s="349"/>
      <c r="AO295" s="454">
        <v>5522</v>
      </c>
      <c r="AP295" s="478">
        <v>22</v>
      </c>
      <c r="AQ295" s="213"/>
      <c r="AS295" s="509">
        <v>3905</v>
      </c>
      <c r="AT295" s="349">
        <v>41809</v>
      </c>
      <c r="AU295" s="480">
        <v>-37904</v>
      </c>
      <c r="AV295" s="199">
        <v>17420</v>
      </c>
      <c r="AW295" s="199">
        <v>1465</v>
      </c>
      <c r="AX295" s="199">
        <v>1894</v>
      </c>
      <c r="AY295" s="199">
        <v>20779</v>
      </c>
      <c r="AZ295" s="199">
        <v>19882</v>
      </c>
      <c r="BA295" s="181">
        <v>54</v>
      </c>
      <c r="BB295" s="511">
        <v>81</v>
      </c>
      <c r="BC295" s="181">
        <v>510</v>
      </c>
      <c r="BD295" s="181">
        <v>1</v>
      </c>
      <c r="BE295" s="199">
        <v>3239</v>
      </c>
      <c r="BG295" s="183">
        <v>2697</v>
      </c>
      <c r="BH295" s="183">
        <v>0</v>
      </c>
      <c r="BI295" s="183">
        <v>0</v>
      </c>
      <c r="BJ295" s="199">
        <v>542</v>
      </c>
      <c r="BK295" s="199">
        <v>0</v>
      </c>
      <c r="BL295" s="183">
        <v>0</v>
      </c>
      <c r="BM295" s="183">
        <v>0</v>
      </c>
      <c r="BN295" s="199">
        <v>542</v>
      </c>
      <c r="BP295" s="199">
        <v>3077</v>
      </c>
      <c r="BS295" s="211"/>
      <c r="BV295" s="514">
        <v>805</v>
      </c>
      <c r="BX295" s="181">
        <v>20000</v>
      </c>
      <c r="BZ295" s="349"/>
      <c r="CB295" s="340"/>
      <c r="CC295" s="488">
        <v>22</v>
      </c>
      <c r="CD295" s="378"/>
      <c r="CE295" s="378"/>
      <c r="CF295" s="195"/>
      <c r="CG295" s="349"/>
      <c r="CI295" s="181">
        <v>15009</v>
      </c>
      <c r="CJ295" s="183">
        <v>0</v>
      </c>
      <c r="CK295" s="421">
        <v>18871.114267104986</v>
      </c>
      <c r="CL295" s="494">
        <v>19888.345453848662</v>
      </c>
      <c r="CM295" s="483">
        <v>3512.5857173611525</v>
      </c>
      <c r="CN295" s="483">
        <v>3146.2290760526398</v>
      </c>
      <c r="CO295" s="483">
        <v>2730.6065321139276</v>
      </c>
      <c r="CP295" s="433">
        <f t="shared" si="4"/>
        <v>-515.11426710498563</v>
      </c>
      <c r="CQ295" s="212"/>
      <c r="CR295" s="212">
        <v>-41</v>
      </c>
      <c r="CS295" s="212">
        <v>-1797</v>
      </c>
      <c r="CT295" s="183">
        <v>38</v>
      </c>
      <c r="CU295" s="183">
        <v>42</v>
      </c>
      <c r="CV295" s="485">
        <v>-2000</v>
      </c>
      <c r="CX295" s="422"/>
      <c r="CY295" s="475"/>
      <c r="CZ295" s="450"/>
      <c r="DA295" s="394"/>
      <c r="DB295" s="394"/>
      <c r="DC295" s="347"/>
      <c r="DD295" s="394"/>
      <c r="DE295" s="394"/>
      <c r="DF295" s="394"/>
      <c r="DG295" s="394"/>
      <c r="DH295" s="394"/>
    </row>
    <row r="296" spans="1:112" x14ac:dyDescent="0.25">
      <c r="A296" s="179">
        <v>992</v>
      </c>
      <c r="B296" s="181" t="s">
        <v>318</v>
      </c>
      <c r="C296" s="373">
        <v>18765</v>
      </c>
      <c r="D296" s="360">
        <v>21.5</v>
      </c>
      <c r="E296" s="213"/>
      <c r="G296" s="363">
        <v>19101</v>
      </c>
      <c r="H296" s="363">
        <v>131161</v>
      </c>
      <c r="I296" s="349"/>
      <c r="J296" s="363">
        <v>60452</v>
      </c>
      <c r="K296" s="363">
        <v>8023</v>
      </c>
      <c r="L296" s="363">
        <v>5096</v>
      </c>
      <c r="M296" s="363">
        <v>73571</v>
      </c>
      <c r="N296" s="363">
        <v>42963</v>
      </c>
      <c r="O296" s="363">
        <v>624</v>
      </c>
      <c r="P296" s="363">
        <v>202</v>
      </c>
      <c r="Q296" s="363">
        <v>1334</v>
      </c>
      <c r="R296" s="363">
        <v>18</v>
      </c>
      <c r="S296" s="363">
        <v>6212</v>
      </c>
      <c r="U296" s="363">
        <v>7152</v>
      </c>
      <c r="V296" s="363">
        <v>0</v>
      </c>
      <c r="W296" s="363">
        <v>0</v>
      </c>
      <c r="X296" s="363">
        <v>-940</v>
      </c>
      <c r="Y296" s="363">
        <v>20</v>
      </c>
      <c r="Z296" s="363">
        <v>0</v>
      </c>
      <c r="AA296" s="363">
        <v>0</v>
      </c>
      <c r="AB296" s="363">
        <v>-920</v>
      </c>
      <c r="AD296" s="363">
        <v>7550</v>
      </c>
      <c r="AG296" s="363">
        <v>-14716</v>
      </c>
      <c r="AH296" s="349"/>
      <c r="AJ296" s="363">
        <v>2776</v>
      </c>
      <c r="AL296" s="363">
        <v>78224</v>
      </c>
      <c r="AN296" s="349"/>
      <c r="AO296" s="454">
        <v>18577</v>
      </c>
      <c r="AP296" s="478">
        <v>21.5</v>
      </c>
      <c r="AQ296" s="213"/>
      <c r="AS296" s="509">
        <v>18236</v>
      </c>
      <c r="AT296" s="349">
        <v>135490</v>
      </c>
      <c r="AU296" s="480">
        <v>-117254</v>
      </c>
      <c r="AV296" s="199">
        <v>61432</v>
      </c>
      <c r="AW296" s="199">
        <v>8519</v>
      </c>
      <c r="AX296" s="199">
        <v>4896</v>
      </c>
      <c r="AY296" s="199">
        <v>74847</v>
      </c>
      <c r="AZ296" s="199">
        <v>51751</v>
      </c>
      <c r="BA296" s="181">
        <v>616</v>
      </c>
      <c r="BB296" s="511">
        <v>260</v>
      </c>
      <c r="BC296" s="181">
        <v>1376</v>
      </c>
      <c r="BD296" s="181">
        <v>0</v>
      </c>
      <c r="BE296" s="199">
        <v>11076</v>
      </c>
      <c r="BG296" s="183">
        <v>8599</v>
      </c>
      <c r="BH296" s="183">
        <v>0</v>
      </c>
      <c r="BI296" s="183">
        <v>0</v>
      </c>
      <c r="BJ296" s="199">
        <v>2477</v>
      </c>
      <c r="BK296" s="183">
        <v>14</v>
      </c>
      <c r="BL296" s="183">
        <v>0</v>
      </c>
      <c r="BM296" s="183">
        <v>0</v>
      </c>
      <c r="BN296" s="199">
        <v>2491</v>
      </c>
      <c r="BP296" s="199">
        <v>10042</v>
      </c>
      <c r="BS296" s="211"/>
      <c r="BV296" s="514">
        <v>1770</v>
      </c>
      <c r="BX296" s="181">
        <v>74135</v>
      </c>
      <c r="BZ296" s="349"/>
      <c r="CB296" s="340"/>
      <c r="CC296" s="488">
        <v>21.5</v>
      </c>
      <c r="CD296" s="378"/>
      <c r="CE296" s="378"/>
      <c r="CF296" s="195"/>
      <c r="CG296" s="349"/>
      <c r="CH296" s="347"/>
      <c r="CI296" s="181">
        <v>34725</v>
      </c>
      <c r="CJ296" s="183">
        <v>0</v>
      </c>
      <c r="CK296" s="421">
        <v>49919.455009710306</v>
      </c>
      <c r="CL296" s="494">
        <v>52043.079654585614</v>
      </c>
      <c r="CM296" s="483">
        <v>17110.761693838966</v>
      </c>
      <c r="CN296" s="483">
        <v>16414.604936806321</v>
      </c>
      <c r="CO296" s="483">
        <v>15585.435145675663</v>
      </c>
      <c r="CP296" s="433">
        <f t="shared" si="4"/>
        <v>-6956.4550097103056</v>
      </c>
      <c r="CQ296" s="212"/>
      <c r="CR296" s="212">
        <v>-871</v>
      </c>
      <c r="CS296" s="212">
        <v>-9267</v>
      </c>
      <c r="CT296" s="183">
        <v>164</v>
      </c>
      <c r="CU296" s="183">
        <v>711</v>
      </c>
      <c r="CV296">
        <v>339</v>
      </c>
      <c r="CX296" s="422"/>
      <c r="CY296" s="475"/>
      <c r="CZ296" s="450"/>
      <c r="DA296" s="394"/>
      <c r="DB296" s="394"/>
      <c r="DC296" s="347"/>
      <c r="DD296" s="394"/>
      <c r="DE296" s="394"/>
      <c r="DF296" s="394"/>
      <c r="DG296" s="394"/>
      <c r="DH296" s="394"/>
    </row>
    <row r="297" spans="1:112" x14ac:dyDescent="0.25">
      <c r="C297" s="181"/>
      <c r="D297" s="195"/>
      <c r="E297" s="213"/>
      <c r="AP297" s="195"/>
      <c r="AQ297" s="182"/>
      <c r="CB297" s="340"/>
      <c r="CC297" s="380"/>
      <c r="CD297" s="380"/>
      <c r="CE297" s="380"/>
      <c r="CF297" s="195"/>
      <c r="CG297" s="202"/>
      <c r="CI297" s="196"/>
      <c r="CJ297" s="196"/>
      <c r="CK297" s="372"/>
      <c r="CL297" s="183"/>
      <c r="CM297" s="183"/>
      <c r="CN297" s="183"/>
      <c r="CO297" s="183"/>
      <c r="CP297" s="183"/>
      <c r="CQ297" s="196"/>
      <c r="CR297" s="196"/>
      <c r="CS297" s="196"/>
      <c r="CX297" s="347"/>
      <c r="CY297" s="347"/>
      <c r="CZ297" s="347"/>
      <c r="DA297" s="347"/>
      <c r="DB297" s="347"/>
      <c r="DC297" s="347"/>
    </row>
    <row r="298" spans="1:112" x14ac:dyDescent="0.25">
      <c r="C298" s="181"/>
      <c r="CL298" s="183"/>
      <c r="CM298" s="183"/>
      <c r="CN298" s="183"/>
      <c r="CO298" s="183"/>
      <c r="CP298" s="183"/>
      <c r="CX298" s="347"/>
      <c r="CY298" s="347"/>
      <c r="CZ298" s="347"/>
      <c r="DA298" s="347"/>
      <c r="DB298" s="347"/>
      <c r="DC298" s="347"/>
    </row>
    <row r="299" spans="1:112" x14ac:dyDescent="0.25">
      <c r="C299" s="181"/>
      <c r="AJ299" s="203"/>
      <c r="BV299" s="203"/>
      <c r="CL299" s="183"/>
      <c r="CM299" s="183"/>
      <c r="CN299" s="183"/>
      <c r="CO299" s="183"/>
      <c r="CP299" s="183"/>
      <c r="CX299" s="347"/>
      <c r="CY299" s="347"/>
      <c r="CZ299" s="347"/>
      <c r="DA299" s="347"/>
      <c r="DB299" s="347"/>
      <c r="DC299" s="347"/>
    </row>
    <row r="300" spans="1:112" x14ac:dyDescent="0.25">
      <c r="C300" s="181"/>
      <c r="AJ300" s="203"/>
      <c r="BV300" s="203"/>
      <c r="CL300" s="183"/>
      <c r="CM300" s="183"/>
      <c r="CN300" s="183"/>
      <c r="CO300" s="183"/>
      <c r="CP300" s="183"/>
      <c r="CX300" s="347"/>
      <c r="CY300" s="347"/>
      <c r="CZ300" s="347"/>
      <c r="DA300" s="347"/>
      <c r="DB300" s="347"/>
      <c r="DC300" s="347"/>
    </row>
  </sheetData>
  <sortState ref="A3:DC304">
    <sortCondition ref="B3:B304"/>
  </sortState>
  <phoneticPr fontId="0" type="noConversion"/>
  <pageMargins left="0.75" right="0.75" top="1" bottom="1" header="0.4921259845" footer="0.492125984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4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Q14" sqref="Q14"/>
    </sheetView>
  </sheetViews>
  <sheetFormatPr defaultColWidth="9.33203125" defaultRowHeight="10" x14ac:dyDescent="0.2"/>
  <cols>
    <col min="1" max="1" width="14.44140625" style="181" customWidth="1"/>
    <col min="2" max="2" width="9.109375" style="181" bestFit="1" customWidth="1"/>
    <col min="3" max="4" width="9.33203125" style="181" bestFit="1" customWidth="1"/>
    <col min="5" max="5" width="9.33203125" style="354" bestFit="1" customWidth="1"/>
    <col min="6" max="6" width="9.33203125" style="181" bestFit="1" customWidth="1"/>
    <col min="7" max="7" width="9.109375" style="181" bestFit="1" customWidth="1"/>
    <col min="8" max="10" width="9.109375" style="349" bestFit="1" customWidth="1"/>
    <col min="11" max="12" width="9.44140625" style="181" bestFit="1" customWidth="1"/>
    <col min="13" max="13" width="9.33203125" style="181"/>
    <col min="14" max="16384" width="9.33203125" style="171"/>
  </cols>
  <sheetData>
    <row r="1" spans="1:13" ht="13" x14ac:dyDescent="0.3">
      <c r="A1" s="206" t="s">
        <v>443</v>
      </c>
      <c r="D1" s="350"/>
      <c r="E1" s="355"/>
      <c r="F1" s="350"/>
      <c r="G1" s="350"/>
      <c r="H1" s="373"/>
      <c r="I1" s="373"/>
      <c r="J1" s="373"/>
      <c r="K1" s="350"/>
      <c r="L1" s="350"/>
      <c r="M1" s="350"/>
    </row>
    <row r="2" spans="1:13" ht="13" x14ac:dyDescent="0.3">
      <c r="A2" s="207" t="s">
        <v>445</v>
      </c>
      <c r="D2" s="350"/>
      <c r="E2" s="355"/>
      <c r="F2" s="350"/>
      <c r="G2" s="350"/>
      <c r="H2" s="373"/>
      <c r="I2" s="373"/>
      <c r="J2" s="373"/>
      <c r="K2" s="350"/>
      <c r="L2" s="350"/>
      <c r="M2" s="350"/>
    </row>
    <row r="3" spans="1:13" ht="10.5" x14ac:dyDescent="0.25">
      <c r="A3" s="333" t="s">
        <v>444</v>
      </c>
      <c r="B3" s="181">
        <v>3</v>
      </c>
      <c r="C3" s="210">
        <v>4</v>
      </c>
      <c r="D3" s="358">
        <v>5</v>
      </c>
      <c r="E3" s="358">
        <v>6</v>
      </c>
      <c r="F3" s="358">
        <v>7</v>
      </c>
      <c r="G3" s="358">
        <v>8</v>
      </c>
      <c r="H3" s="358">
        <v>9</v>
      </c>
      <c r="I3" s="358">
        <v>10</v>
      </c>
      <c r="J3" s="358">
        <v>11</v>
      </c>
      <c r="K3" s="350">
        <v>12</v>
      </c>
      <c r="L3" s="350">
        <v>13</v>
      </c>
      <c r="M3" s="350">
        <v>14</v>
      </c>
    </row>
    <row r="4" spans="1:13" x14ac:dyDescent="0.2">
      <c r="D4" s="350"/>
      <c r="E4" s="355"/>
      <c r="F4" s="350"/>
      <c r="G4" s="350"/>
      <c r="H4" s="373"/>
      <c r="I4" s="373"/>
      <c r="J4" s="373"/>
      <c r="K4" s="350"/>
      <c r="L4" s="350"/>
      <c r="M4" s="350"/>
    </row>
    <row r="5" spans="1:13" ht="10.5" x14ac:dyDescent="0.25">
      <c r="B5" s="383">
        <v>2019</v>
      </c>
      <c r="C5" s="383">
        <v>2020</v>
      </c>
      <c r="D5" s="459">
        <v>2021</v>
      </c>
      <c r="E5" s="459">
        <v>2022</v>
      </c>
      <c r="F5" s="459">
        <v>2023</v>
      </c>
      <c r="G5" s="459">
        <v>2024</v>
      </c>
      <c r="H5" s="459">
        <v>2025</v>
      </c>
      <c r="I5" s="459">
        <v>2026</v>
      </c>
      <c r="J5" s="459">
        <v>2027</v>
      </c>
      <c r="K5" s="459">
        <v>2028</v>
      </c>
      <c r="L5" s="459">
        <v>2029</v>
      </c>
      <c r="M5" s="518">
        <v>2030</v>
      </c>
    </row>
    <row r="6" spans="1:13" x14ac:dyDescent="0.2">
      <c r="A6" s="208"/>
      <c r="B6" s="209"/>
      <c r="C6" s="209"/>
      <c r="D6" s="351"/>
      <c r="E6" s="356"/>
      <c r="F6" s="351"/>
      <c r="G6" s="351"/>
      <c r="H6" s="351"/>
      <c r="I6" s="373"/>
      <c r="J6" s="351"/>
      <c r="K6" s="350"/>
      <c r="L6" s="350"/>
      <c r="M6" s="350"/>
    </row>
    <row r="7" spans="1:13" x14ac:dyDescent="0.2">
      <c r="D7" s="350"/>
      <c r="E7" s="355"/>
      <c r="F7" s="350"/>
      <c r="G7" s="350"/>
      <c r="H7" s="373"/>
      <c r="I7" s="373"/>
      <c r="J7" s="373"/>
      <c r="K7" s="350"/>
      <c r="L7" s="350"/>
      <c r="M7" s="350"/>
    </row>
    <row r="8" spans="1:13" s="357" customFormat="1" x14ac:dyDescent="0.2">
      <c r="A8" s="352" t="s">
        <v>319</v>
      </c>
      <c r="B8" s="460">
        <f>pohjatiedot!AO3</f>
        <v>16391</v>
      </c>
      <c r="C8" s="460">
        <v>16391</v>
      </c>
      <c r="D8" s="456">
        <v>16229</v>
      </c>
      <c r="E8" s="456">
        <v>16108</v>
      </c>
      <c r="F8" s="456">
        <v>15984</v>
      </c>
      <c r="G8" s="456">
        <v>15861</v>
      </c>
      <c r="H8" s="461">
        <v>15743</v>
      </c>
      <c r="I8" s="462">
        <v>15630</v>
      </c>
      <c r="J8" s="462">
        <v>15523</v>
      </c>
      <c r="K8" s="462">
        <v>15419</v>
      </c>
      <c r="L8" s="462">
        <v>15317</v>
      </c>
      <c r="M8" s="462">
        <f>L8</f>
        <v>15317</v>
      </c>
    </row>
    <row r="9" spans="1:13" x14ac:dyDescent="0.2">
      <c r="A9" s="179" t="s">
        <v>39</v>
      </c>
      <c r="B9" s="460">
        <f>pohjatiedot!AO4</f>
        <v>9419</v>
      </c>
      <c r="C9" s="507">
        <v>9419</v>
      </c>
      <c r="D9" s="454">
        <v>9363</v>
      </c>
      <c r="E9" s="454">
        <v>9256</v>
      </c>
      <c r="F9" s="454">
        <v>9153</v>
      </c>
      <c r="G9" s="454">
        <v>9052</v>
      </c>
      <c r="H9" s="461">
        <v>8952</v>
      </c>
      <c r="I9" s="462">
        <v>8854</v>
      </c>
      <c r="J9" s="462">
        <v>8757</v>
      </c>
      <c r="K9" s="462">
        <v>8659</v>
      </c>
      <c r="L9" s="462">
        <v>8565</v>
      </c>
      <c r="M9" s="462">
        <f t="shared" ref="M9:M72" si="0">L9</f>
        <v>8565</v>
      </c>
    </row>
    <row r="10" spans="1:13" x14ac:dyDescent="0.2">
      <c r="A10" s="179" t="s">
        <v>40</v>
      </c>
      <c r="B10" s="460">
        <f>pohjatiedot!AO5</f>
        <v>2517</v>
      </c>
      <c r="C10" s="507">
        <v>2517</v>
      </c>
      <c r="D10" s="454">
        <v>2461</v>
      </c>
      <c r="E10" s="454">
        <v>2428</v>
      </c>
      <c r="F10" s="454">
        <v>2396</v>
      </c>
      <c r="G10" s="454">
        <v>2366</v>
      </c>
      <c r="H10" s="461">
        <v>2338</v>
      </c>
      <c r="I10" s="462">
        <v>2309</v>
      </c>
      <c r="J10" s="462">
        <v>2283</v>
      </c>
      <c r="K10" s="462">
        <v>2257</v>
      </c>
      <c r="L10" s="462">
        <v>2231</v>
      </c>
      <c r="M10" s="462">
        <f t="shared" si="0"/>
        <v>2231</v>
      </c>
    </row>
    <row r="11" spans="1:13" x14ac:dyDescent="0.2">
      <c r="A11" s="179" t="s">
        <v>41</v>
      </c>
      <c r="B11" s="460">
        <f>pohjatiedot!AO6</f>
        <v>11332</v>
      </c>
      <c r="C11" s="507">
        <v>11332</v>
      </c>
      <c r="D11" s="454">
        <v>11118</v>
      </c>
      <c r="E11" s="454">
        <v>10988</v>
      </c>
      <c r="F11" s="454">
        <v>10861</v>
      </c>
      <c r="G11" s="454">
        <v>10736</v>
      </c>
      <c r="H11" s="461">
        <v>10608</v>
      </c>
      <c r="I11" s="462">
        <v>10486</v>
      </c>
      <c r="J11" s="462">
        <v>10365</v>
      </c>
      <c r="K11" s="462">
        <v>10250</v>
      </c>
      <c r="L11" s="462">
        <v>10136</v>
      </c>
      <c r="M11" s="462">
        <f t="shared" si="0"/>
        <v>10136</v>
      </c>
    </row>
    <row r="12" spans="1:13" x14ac:dyDescent="0.2">
      <c r="A12" s="179" t="s">
        <v>42</v>
      </c>
      <c r="B12" s="460">
        <f>pohjatiedot!AO7</f>
        <v>8059</v>
      </c>
      <c r="C12" s="507">
        <v>8059</v>
      </c>
      <c r="D12" s="454">
        <v>7980</v>
      </c>
      <c r="E12" s="454">
        <v>7929</v>
      </c>
      <c r="F12" s="454">
        <v>7874</v>
      </c>
      <c r="G12" s="454">
        <v>7819</v>
      </c>
      <c r="H12" s="461">
        <v>7761</v>
      </c>
      <c r="I12" s="462">
        <v>7707</v>
      </c>
      <c r="J12" s="462">
        <v>7653</v>
      </c>
      <c r="K12" s="462">
        <v>7600</v>
      </c>
      <c r="L12" s="462">
        <v>7548</v>
      </c>
      <c r="M12" s="462">
        <f t="shared" si="0"/>
        <v>7548</v>
      </c>
    </row>
    <row r="13" spans="1:13" x14ac:dyDescent="0.2">
      <c r="A13" s="179" t="s">
        <v>43</v>
      </c>
      <c r="B13" s="460">
        <f>pohjatiedot!AO8</f>
        <v>4878</v>
      </c>
      <c r="C13" s="507">
        <v>4878</v>
      </c>
      <c r="D13" s="454">
        <v>4938</v>
      </c>
      <c r="E13" s="454">
        <v>4924</v>
      </c>
      <c r="F13" s="454">
        <v>4912</v>
      </c>
      <c r="G13" s="454">
        <v>4900</v>
      </c>
      <c r="H13" s="461">
        <v>4889</v>
      </c>
      <c r="I13" s="462">
        <v>4877</v>
      </c>
      <c r="J13" s="462">
        <v>4864</v>
      </c>
      <c r="K13" s="462">
        <v>4846</v>
      </c>
      <c r="L13" s="462">
        <v>4827</v>
      </c>
      <c r="M13" s="462">
        <f t="shared" si="0"/>
        <v>4827</v>
      </c>
    </row>
    <row r="14" spans="1:13" x14ac:dyDescent="0.2">
      <c r="A14" s="179" t="s">
        <v>44</v>
      </c>
      <c r="B14" s="460">
        <f>pohjatiedot!AO9</f>
        <v>3959</v>
      </c>
      <c r="C14" s="507">
        <v>3959</v>
      </c>
      <c r="D14" s="454">
        <v>3968</v>
      </c>
      <c r="E14" s="454">
        <v>3963</v>
      </c>
      <c r="F14" s="454">
        <v>3959</v>
      </c>
      <c r="G14" s="454">
        <v>3951</v>
      </c>
      <c r="H14" s="461">
        <v>3946</v>
      </c>
      <c r="I14" s="462">
        <v>3940</v>
      </c>
      <c r="J14" s="462">
        <v>3935</v>
      </c>
      <c r="K14" s="462">
        <v>3932</v>
      </c>
      <c r="L14" s="462">
        <v>3925</v>
      </c>
      <c r="M14" s="462">
        <f t="shared" si="0"/>
        <v>3925</v>
      </c>
    </row>
    <row r="15" spans="1:13" x14ac:dyDescent="0.2">
      <c r="A15" s="179" t="s">
        <v>45</v>
      </c>
      <c r="B15" s="460">
        <f>pohjatiedot!AO10</f>
        <v>1369</v>
      </c>
      <c r="C15" s="507">
        <v>1369</v>
      </c>
      <c r="D15" s="454">
        <v>1352</v>
      </c>
      <c r="E15" s="454">
        <v>1333</v>
      </c>
      <c r="F15" s="454">
        <v>1316</v>
      </c>
      <c r="G15" s="454">
        <v>1300</v>
      </c>
      <c r="H15" s="461">
        <v>1283</v>
      </c>
      <c r="I15" s="462">
        <v>1269</v>
      </c>
      <c r="J15" s="462">
        <v>1254</v>
      </c>
      <c r="K15" s="462">
        <v>1239</v>
      </c>
      <c r="L15" s="462">
        <v>1224</v>
      </c>
      <c r="M15" s="462">
        <f t="shared" si="0"/>
        <v>1224</v>
      </c>
    </row>
    <row r="16" spans="1:13" x14ac:dyDescent="0.2">
      <c r="A16" s="179" t="s">
        <v>46</v>
      </c>
      <c r="B16" s="460">
        <f>pohjatiedot!AO11</f>
        <v>1808</v>
      </c>
      <c r="C16" s="507">
        <v>1808</v>
      </c>
      <c r="D16" s="454">
        <v>1850</v>
      </c>
      <c r="E16" s="454">
        <v>1850</v>
      </c>
      <c r="F16" s="454">
        <v>1852</v>
      </c>
      <c r="G16" s="454">
        <v>1854</v>
      </c>
      <c r="H16" s="461">
        <v>1855</v>
      </c>
      <c r="I16" s="462">
        <v>1856</v>
      </c>
      <c r="J16" s="462">
        <v>1855</v>
      </c>
      <c r="K16" s="462">
        <v>1853</v>
      </c>
      <c r="L16" s="462">
        <v>1848</v>
      </c>
      <c r="M16" s="462">
        <f t="shared" si="0"/>
        <v>1848</v>
      </c>
    </row>
    <row r="17" spans="1:13" x14ac:dyDescent="0.2">
      <c r="A17" s="179" t="s">
        <v>47</v>
      </c>
      <c r="B17" s="460">
        <f>pohjatiedot!AO12</f>
        <v>292796</v>
      </c>
      <c r="C17" s="507">
        <v>292796</v>
      </c>
      <c r="D17" s="454">
        <v>296067</v>
      </c>
      <c r="E17" s="454">
        <v>299943</v>
      </c>
      <c r="F17" s="454">
        <v>303678</v>
      </c>
      <c r="G17" s="454">
        <v>307254</v>
      </c>
      <c r="H17" s="461">
        <v>310666</v>
      </c>
      <c r="I17" s="462">
        <v>313918</v>
      </c>
      <c r="J17" s="462">
        <v>317005</v>
      </c>
      <c r="K17" s="462">
        <v>319936</v>
      </c>
      <c r="L17" s="462">
        <v>322710</v>
      </c>
      <c r="M17" s="462">
        <f t="shared" si="0"/>
        <v>322710</v>
      </c>
    </row>
    <row r="18" spans="1:13" x14ac:dyDescent="0.2">
      <c r="A18" s="179" t="s">
        <v>48</v>
      </c>
      <c r="B18" s="460">
        <f>pohjatiedot!AO13</f>
        <v>11483</v>
      </c>
      <c r="C18" s="507">
        <v>11483</v>
      </c>
      <c r="D18" s="454">
        <v>11386</v>
      </c>
      <c r="E18" s="454">
        <v>11267</v>
      </c>
      <c r="F18" s="454">
        <v>11148</v>
      </c>
      <c r="G18" s="454">
        <v>11033</v>
      </c>
      <c r="H18" s="461">
        <v>10918</v>
      </c>
      <c r="I18" s="462">
        <v>10809</v>
      </c>
      <c r="J18" s="462">
        <v>10705</v>
      </c>
      <c r="K18" s="462">
        <v>10602</v>
      </c>
      <c r="L18" s="462">
        <v>10499</v>
      </c>
      <c r="M18" s="462">
        <f t="shared" si="0"/>
        <v>10499</v>
      </c>
    </row>
    <row r="19" spans="1:13" x14ac:dyDescent="0.2">
      <c r="A19" s="179" t="s">
        <v>49</v>
      </c>
      <c r="B19" s="460">
        <f>pohjatiedot!AO14</f>
        <v>9452</v>
      </c>
      <c r="C19" s="507">
        <v>9452</v>
      </c>
      <c r="D19" s="454">
        <v>9522</v>
      </c>
      <c r="E19" s="454">
        <v>9534</v>
      </c>
      <c r="F19" s="454">
        <v>9539</v>
      </c>
      <c r="G19" s="454">
        <v>9540</v>
      </c>
      <c r="H19" s="461">
        <v>9532</v>
      </c>
      <c r="I19" s="462">
        <v>9516</v>
      </c>
      <c r="J19" s="462">
        <v>9493</v>
      </c>
      <c r="K19" s="462">
        <v>9467</v>
      </c>
      <c r="L19" s="462">
        <v>9439</v>
      </c>
      <c r="M19" s="462">
        <f t="shared" si="0"/>
        <v>9439</v>
      </c>
    </row>
    <row r="20" spans="1:13" x14ac:dyDescent="0.2">
      <c r="A20" s="179" t="s">
        <v>50</v>
      </c>
      <c r="B20" s="460">
        <f>pohjatiedot!AO15</f>
        <v>2408</v>
      </c>
      <c r="C20" s="507">
        <v>2408</v>
      </c>
      <c r="D20" s="454">
        <v>2342</v>
      </c>
      <c r="E20" s="454">
        <v>2300</v>
      </c>
      <c r="F20" s="454">
        <v>2260</v>
      </c>
      <c r="G20" s="454">
        <v>2223</v>
      </c>
      <c r="H20" s="461">
        <v>2187</v>
      </c>
      <c r="I20" s="462">
        <v>2153</v>
      </c>
      <c r="J20" s="462">
        <v>2118</v>
      </c>
      <c r="K20" s="462">
        <v>2082</v>
      </c>
      <c r="L20" s="462">
        <v>2050</v>
      </c>
      <c r="M20" s="462">
        <f t="shared" si="0"/>
        <v>2050</v>
      </c>
    </row>
    <row r="21" spans="1:13" x14ac:dyDescent="0.2">
      <c r="A21" s="179" t="s">
        <v>51</v>
      </c>
      <c r="B21" s="460">
        <f>pohjatiedot!AO16</f>
        <v>16800</v>
      </c>
      <c r="C21" s="507">
        <v>16800</v>
      </c>
      <c r="D21" s="454">
        <v>16629</v>
      </c>
      <c r="E21" s="454">
        <v>16505</v>
      </c>
      <c r="F21" s="454">
        <v>16384</v>
      </c>
      <c r="G21" s="454">
        <v>16265</v>
      </c>
      <c r="H21" s="461">
        <v>16149</v>
      </c>
      <c r="I21" s="462">
        <v>16036</v>
      </c>
      <c r="J21" s="462">
        <v>15923</v>
      </c>
      <c r="K21" s="462">
        <v>15811</v>
      </c>
      <c r="L21" s="462">
        <v>15703</v>
      </c>
      <c r="M21" s="462">
        <f t="shared" si="0"/>
        <v>15703</v>
      </c>
    </row>
    <row r="22" spans="1:13" x14ac:dyDescent="0.2">
      <c r="A22" s="179" t="s">
        <v>52</v>
      </c>
      <c r="B22" s="460">
        <f>pohjatiedot!AO17</f>
        <v>6896</v>
      </c>
      <c r="C22" s="507">
        <v>6896</v>
      </c>
      <c r="D22" s="454">
        <v>6834</v>
      </c>
      <c r="E22" s="454">
        <v>6734</v>
      </c>
      <c r="F22" s="454">
        <v>6637</v>
      </c>
      <c r="G22" s="454">
        <v>6542</v>
      </c>
      <c r="H22" s="461">
        <v>6449</v>
      </c>
      <c r="I22" s="462">
        <v>6360</v>
      </c>
      <c r="J22" s="462">
        <v>6275</v>
      </c>
      <c r="K22" s="462">
        <v>6192</v>
      </c>
      <c r="L22" s="462">
        <v>6111</v>
      </c>
      <c r="M22" s="462">
        <f t="shared" si="0"/>
        <v>6111</v>
      </c>
    </row>
    <row r="23" spans="1:13" x14ac:dyDescent="0.2">
      <c r="A23" s="179" t="s">
        <v>53</v>
      </c>
      <c r="B23" s="460">
        <f>pohjatiedot!AO18</f>
        <v>6667</v>
      </c>
      <c r="C23" s="507">
        <v>6667</v>
      </c>
      <c r="D23" s="454">
        <v>6606</v>
      </c>
      <c r="E23" s="454">
        <v>6523</v>
      </c>
      <c r="F23" s="454">
        <v>6438</v>
      </c>
      <c r="G23" s="454">
        <v>6358</v>
      </c>
      <c r="H23" s="461">
        <v>6278</v>
      </c>
      <c r="I23" s="462">
        <v>6203</v>
      </c>
      <c r="J23" s="462">
        <v>6132</v>
      </c>
      <c r="K23" s="462">
        <v>6064</v>
      </c>
      <c r="L23" s="462">
        <v>5997</v>
      </c>
      <c r="M23" s="462">
        <f t="shared" si="0"/>
        <v>5997</v>
      </c>
    </row>
    <row r="24" spans="1:13" x14ac:dyDescent="0.2">
      <c r="A24" s="179" t="s">
        <v>54</v>
      </c>
      <c r="B24" s="460">
        <f>pohjatiedot!AO19</f>
        <v>949</v>
      </c>
      <c r="C24" s="507">
        <v>949</v>
      </c>
      <c r="D24" s="454">
        <v>976</v>
      </c>
      <c r="E24" s="454">
        <v>976</v>
      </c>
      <c r="F24" s="454">
        <v>978</v>
      </c>
      <c r="G24" s="454">
        <v>979</v>
      </c>
      <c r="H24" s="461">
        <v>977</v>
      </c>
      <c r="I24" s="462">
        <v>976</v>
      </c>
      <c r="J24" s="462">
        <v>974</v>
      </c>
      <c r="K24" s="462">
        <v>971</v>
      </c>
      <c r="L24" s="462">
        <v>967</v>
      </c>
      <c r="M24" s="462">
        <f t="shared" si="0"/>
        <v>967</v>
      </c>
    </row>
    <row r="25" spans="1:13" x14ac:dyDescent="0.2">
      <c r="A25" s="179" t="s">
        <v>55</v>
      </c>
      <c r="B25" s="460">
        <f>pohjatiedot!AO20</f>
        <v>1103</v>
      </c>
      <c r="C25" s="507">
        <v>1103</v>
      </c>
      <c r="D25" s="454">
        <v>1107</v>
      </c>
      <c r="E25" s="454">
        <v>1095</v>
      </c>
      <c r="F25" s="454">
        <v>1082</v>
      </c>
      <c r="G25" s="454">
        <v>1069</v>
      </c>
      <c r="H25" s="461">
        <v>1059</v>
      </c>
      <c r="I25" s="462">
        <v>1049</v>
      </c>
      <c r="J25" s="462">
        <v>1037</v>
      </c>
      <c r="K25" s="462">
        <v>1026</v>
      </c>
      <c r="L25" s="462">
        <v>1018</v>
      </c>
      <c r="M25" s="462">
        <f t="shared" si="0"/>
        <v>1018</v>
      </c>
    </row>
    <row r="26" spans="1:13" x14ac:dyDescent="0.2">
      <c r="A26" s="179" t="s">
        <v>56</v>
      </c>
      <c r="B26" s="460">
        <f>pohjatiedot!AO21</f>
        <v>19877</v>
      </c>
      <c r="C26" s="507">
        <v>19877</v>
      </c>
      <c r="D26" s="454">
        <v>19719</v>
      </c>
      <c r="E26" s="454">
        <v>19537</v>
      </c>
      <c r="F26" s="454">
        <v>19357</v>
      </c>
      <c r="G26" s="454">
        <v>19178</v>
      </c>
      <c r="H26" s="461">
        <v>19004</v>
      </c>
      <c r="I26" s="462">
        <v>18831</v>
      </c>
      <c r="J26" s="462">
        <v>18659</v>
      </c>
      <c r="K26" s="462">
        <v>18485</v>
      </c>
      <c r="L26" s="462">
        <v>18312</v>
      </c>
      <c r="M26" s="462">
        <f t="shared" si="0"/>
        <v>18312</v>
      </c>
    </row>
    <row r="27" spans="1:13" x14ac:dyDescent="0.2">
      <c r="A27" s="179" t="s">
        <v>57</v>
      </c>
      <c r="B27" s="460">
        <f>pohjatiedot!AO22</f>
        <v>4782</v>
      </c>
      <c r="C27" s="507">
        <v>4782</v>
      </c>
      <c r="D27" s="454">
        <v>4680</v>
      </c>
      <c r="E27" s="454">
        <v>4602</v>
      </c>
      <c r="F27" s="454">
        <v>4528</v>
      </c>
      <c r="G27" s="454">
        <v>4457</v>
      </c>
      <c r="H27" s="461">
        <v>4391</v>
      </c>
      <c r="I27" s="462">
        <v>4323</v>
      </c>
      <c r="J27" s="462">
        <v>4256</v>
      </c>
      <c r="K27" s="462">
        <v>4193</v>
      </c>
      <c r="L27" s="462">
        <v>4128</v>
      </c>
      <c r="M27" s="462">
        <f t="shared" si="0"/>
        <v>4128</v>
      </c>
    </row>
    <row r="28" spans="1:13" x14ac:dyDescent="0.2">
      <c r="A28" s="179" t="s">
        <v>58</v>
      </c>
      <c r="B28" s="460">
        <f>pohjatiedot!AO23</f>
        <v>8042</v>
      </c>
      <c r="C28" s="507">
        <v>8042</v>
      </c>
      <c r="D28" s="454">
        <v>7909</v>
      </c>
      <c r="E28" s="454">
        <v>7773</v>
      </c>
      <c r="F28" s="454">
        <v>7643</v>
      </c>
      <c r="G28" s="454">
        <v>7517</v>
      </c>
      <c r="H28" s="461">
        <v>7399</v>
      </c>
      <c r="I28" s="462">
        <v>7286</v>
      </c>
      <c r="J28" s="462">
        <v>7177</v>
      </c>
      <c r="K28" s="462">
        <v>7069</v>
      </c>
      <c r="L28" s="462">
        <v>6964</v>
      </c>
      <c r="M28" s="462">
        <f t="shared" si="0"/>
        <v>6964</v>
      </c>
    </row>
    <row r="29" spans="1:13" x14ac:dyDescent="0.2">
      <c r="A29" s="179" t="s">
        <v>59</v>
      </c>
      <c r="B29" s="460">
        <f>pohjatiedot!AO24</f>
        <v>6869</v>
      </c>
      <c r="C29" s="507">
        <v>6869</v>
      </c>
      <c r="D29" s="454">
        <v>6812</v>
      </c>
      <c r="E29" s="454">
        <v>6741</v>
      </c>
      <c r="F29" s="454">
        <v>6669</v>
      </c>
      <c r="G29" s="454">
        <v>6600</v>
      </c>
      <c r="H29" s="461">
        <v>6533</v>
      </c>
      <c r="I29" s="462">
        <v>6469</v>
      </c>
      <c r="J29" s="462">
        <v>6407</v>
      </c>
      <c r="K29" s="462">
        <v>6349</v>
      </c>
      <c r="L29" s="462">
        <v>6288</v>
      </c>
      <c r="M29" s="462">
        <f t="shared" si="0"/>
        <v>6288</v>
      </c>
    </row>
    <row r="30" spans="1:13" x14ac:dyDescent="0.2">
      <c r="A30" s="179" t="s">
        <v>60</v>
      </c>
      <c r="B30" s="460">
        <f>pohjatiedot!AO25</f>
        <v>2655</v>
      </c>
      <c r="C30" s="507">
        <v>2655</v>
      </c>
      <c r="D30" s="454">
        <v>2602</v>
      </c>
      <c r="E30" s="454">
        <v>2552</v>
      </c>
      <c r="F30" s="454">
        <v>2504</v>
      </c>
      <c r="G30" s="454">
        <v>2462</v>
      </c>
      <c r="H30" s="461">
        <v>2420</v>
      </c>
      <c r="I30" s="462">
        <v>2383</v>
      </c>
      <c r="J30" s="462">
        <v>2348</v>
      </c>
      <c r="K30" s="462">
        <v>2315</v>
      </c>
      <c r="L30" s="462">
        <v>2285</v>
      </c>
      <c r="M30" s="462">
        <f t="shared" si="0"/>
        <v>2285</v>
      </c>
    </row>
    <row r="31" spans="1:13" x14ac:dyDescent="0.2">
      <c r="A31" s="179" t="s">
        <v>61</v>
      </c>
      <c r="B31" s="460">
        <f>pohjatiedot!AO26</f>
        <v>9389</v>
      </c>
      <c r="C31" s="507">
        <v>9389</v>
      </c>
      <c r="D31" s="454">
        <v>9316</v>
      </c>
      <c r="E31" s="454">
        <v>9263</v>
      </c>
      <c r="F31" s="454">
        <v>9209</v>
      </c>
      <c r="G31" s="454">
        <v>9152</v>
      </c>
      <c r="H31" s="461">
        <v>9095</v>
      </c>
      <c r="I31" s="462">
        <v>9037</v>
      </c>
      <c r="J31" s="462">
        <v>8978</v>
      </c>
      <c r="K31" s="462">
        <v>8919</v>
      </c>
      <c r="L31" s="462">
        <v>8859</v>
      </c>
      <c r="M31" s="462">
        <f t="shared" si="0"/>
        <v>8859</v>
      </c>
    </row>
    <row r="32" spans="1:13" x14ac:dyDescent="0.2">
      <c r="A32" s="179" t="s">
        <v>62</v>
      </c>
      <c r="B32" s="460">
        <f>pohjatiedot!AO27</f>
        <v>8175</v>
      </c>
      <c r="C32" s="507">
        <v>8175</v>
      </c>
      <c r="D32" s="454">
        <v>8166</v>
      </c>
      <c r="E32" s="454">
        <v>8088</v>
      </c>
      <c r="F32" s="454">
        <v>8014</v>
      </c>
      <c r="G32" s="454">
        <v>7938</v>
      </c>
      <c r="H32" s="461">
        <v>7866</v>
      </c>
      <c r="I32" s="462">
        <v>7794</v>
      </c>
      <c r="J32" s="462">
        <v>7728</v>
      </c>
      <c r="K32" s="462">
        <v>7662</v>
      </c>
      <c r="L32" s="462">
        <v>7598</v>
      </c>
      <c r="M32" s="462">
        <f t="shared" si="0"/>
        <v>7598</v>
      </c>
    </row>
    <row r="33" spans="1:18" x14ac:dyDescent="0.2">
      <c r="A33" s="179" t="s">
        <v>63</v>
      </c>
      <c r="B33" s="460">
        <f>pohjatiedot!AO28</f>
        <v>18497</v>
      </c>
      <c r="C33" s="507">
        <v>18497</v>
      </c>
      <c r="D33" s="454">
        <v>18220</v>
      </c>
      <c r="E33" s="454">
        <v>18025</v>
      </c>
      <c r="F33" s="454">
        <v>17839</v>
      </c>
      <c r="G33" s="454">
        <v>17663</v>
      </c>
      <c r="H33" s="461">
        <v>17495</v>
      </c>
      <c r="I33" s="462">
        <v>17334</v>
      </c>
      <c r="J33" s="462">
        <v>17182</v>
      </c>
      <c r="K33" s="462">
        <v>17033</v>
      </c>
      <c r="L33" s="462">
        <v>16888</v>
      </c>
      <c r="M33" s="462">
        <f t="shared" si="0"/>
        <v>16888</v>
      </c>
    </row>
    <row r="34" spans="1:18" x14ac:dyDescent="0.2">
      <c r="A34" s="179" t="s">
        <v>64</v>
      </c>
      <c r="B34" s="460">
        <f>pohjatiedot!AO29</f>
        <v>3196</v>
      </c>
      <c r="C34" s="507">
        <v>3196</v>
      </c>
      <c r="D34" s="454">
        <v>3135</v>
      </c>
      <c r="E34" s="454">
        <v>3073</v>
      </c>
      <c r="F34" s="454">
        <v>3015</v>
      </c>
      <c r="G34" s="454">
        <v>2963</v>
      </c>
      <c r="H34" s="461">
        <v>2912</v>
      </c>
      <c r="I34" s="462">
        <v>2866</v>
      </c>
      <c r="J34" s="462">
        <v>2820</v>
      </c>
      <c r="K34" s="462">
        <v>2775</v>
      </c>
      <c r="L34" s="462">
        <v>2734</v>
      </c>
      <c r="M34" s="462">
        <f t="shared" si="0"/>
        <v>2734</v>
      </c>
    </row>
    <row r="35" spans="1:18" x14ac:dyDescent="0.2">
      <c r="A35" s="179" t="s">
        <v>65</v>
      </c>
      <c r="B35" s="460">
        <f>pohjatiedot!AO30</f>
        <v>656920</v>
      </c>
      <c r="C35" s="507">
        <v>656920</v>
      </c>
      <c r="D35" s="454">
        <v>669339</v>
      </c>
      <c r="E35" s="454">
        <v>676117</v>
      </c>
      <c r="F35" s="454">
        <v>682725</v>
      </c>
      <c r="G35" s="454">
        <v>689164</v>
      </c>
      <c r="H35" s="461">
        <v>695419</v>
      </c>
      <c r="I35" s="462">
        <v>701482</v>
      </c>
      <c r="J35" s="462">
        <v>707342</v>
      </c>
      <c r="K35" s="462">
        <v>712998</v>
      </c>
      <c r="L35" s="462">
        <v>718451</v>
      </c>
      <c r="M35" s="462">
        <f t="shared" si="0"/>
        <v>718451</v>
      </c>
    </row>
    <row r="36" spans="1:18" x14ac:dyDescent="0.2">
      <c r="A36" s="179" t="s">
        <v>66</v>
      </c>
      <c r="B36" s="460">
        <f>pohjatiedot!AO31</f>
        <v>2156</v>
      </c>
      <c r="C36" s="507">
        <v>2156</v>
      </c>
      <c r="D36" s="454">
        <v>2029</v>
      </c>
      <c r="E36" s="454">
        <v>1997</v>
      </c>
      <c r="F36" s="454">
        <v>1966</v>
      </c>
      <c r="G36" s="454">
        <v>1937</v>
      </c>
      <c r="H36" s="461">
        <v>1908</v>
      </c>
      <c r="I36" s="462">
        <v>1883</v>
      </c>
      <c r="J36" s="462">
        <v>1859</v>
      </c>
      <c r="K36" s="462">
        <v>1834</v>
      </c>
      <c r="L36" s="462">
        <v>1812</v>
      </c>
      <c r="M36" s="462">
        <f t="shared" si="0"/>
        <v>1812</v>
      </c>
    </row>
    <row r="37" spans="1:18" x14ac:dyDescent="0.2">
      <c r="A37" s="179" t="s">
        <v>67</v>
      </c>
      <c r="B37" s="460">
        <f>pohjatiedot!AO32</f>
        <v>23251</v>
      </c>
      <c r="C37" s="507">
        <v>23251</v>
      </c>
      <c r="D37" s="454">
        <v>23261</v>
      </c>
      <c r="E37" s="454">
        <v>23121</v>
      </c>
      <c r="F37" s="454">
        <v>22972</v>
      </c>
      <c r="G37" s="454">
        <v>22815</v>
      </c>
      <c r="H37" s="454">
        <v>22656</v>
      </c>
      <c r="I37" s="454">
        <v>22498</v>
      </c>
      <c r="J37" s="454">
        <v>22342</v>
      </c>
      <c r="K37" s="462">
        <v>22189</v>
      </c>
      <c r="L37" s="462">
        <v>22036</v>
      </c>
      <c r="M37" s="462">
        <f t="shared" si="0"/>
        <v>22036</v>
      </c>
    </row>
    <row r="38" spans="1:18" x14ac:dyDescent="0.2">
      <c r="A38" s="179" t="s">
        <v>68</v>
      </c>
      <c r="B38" s="460">
        <f>pohjatiedot!AO33</f>
        <v>9937</v>
      </c>
      <c r="C38" s="507">
        <v>9937</v>
      </c>
      <c r="D38" s="454">
        <v>9808</v>
      </c>
      <c r="E38" s="454">
        <v>9721</v>
      </c>
      <c r="F38" s="454">
        <v>9639</v>
      </c>
      <c r="G38" s="454">
        <v>9559</v>
      </c>
      <c r="H38" s="461">
        <v>9482</v>
      </c>
      <c r="I38" s="462">
        <v>9404</v>
      </c>
      <c r="J38" s="462">
        <v>9329</v>
      </c>
      <c r="K38" s="462">
        <v>9259</v>
      </c>
      <c r="L38" s="462">
        <v>9188</v>
      </c>
      <c r="M38" s="462">
        <f t="shared" si="0"/>
        <v>9188</v>
      </c>
    </row>
    <row r="39" spans="1:18" x14ac:dyDescent="0.2">
      <c r="A39" s="179" t="s">
        <v>69</v>
      </c>
      <c r="B39" s="460">
        <f>pohjatiedot!AO34</f>
        <v>2174</v>
      </c>
      <c r="C39" s="507">
        <v>2174</v>
      </c>
      <c r="D39" s="454">
        <v>2104</v>
      </c>
      <c r="E39" s="454">
        <v>2066</v>
      </c>
      <c r="F39" s="454">
        <v>2030</v>
      </c>
      <c r="G39" s="454">
        <v>1997</v>
      </c>
      <c r="H39" s="461">
        <v>1965</v>
      </c>
      <c r="I39" s="462">
        <v>1933</v>
      </c>
      <c r="J39" s="462">
        <v>1905</v>
      </c>
      <c r="K39" s="462">
        <v>1877</v>
      </c>
      <c r="L39" s="462">
        <v>1851</v>
      </c>
      <c r="M39" s="462">
        <f t="shared" si="0"/>
        <v>1851</v>
      </c>
      <c r="N39" s="210"/>
      <c r="O39" s="210"/>
      <c r="P39" s="210"/>
      <c r="Q39" s="210"/>
    </row>
    <row r="40" spans="1:18" x14ac:dyDescent="0.2">
      <c r="A40" s="179" t="s">
        <v>70</v>
      </c>
      <c r="B40" s="460">
        <f>pohjatiedot!AO35</f>
        <v>2199</v>
      </c>
      <c r="C40" s="507">
        <v>2199</v>
      </c>
      <c r="D40" s="454">
        <v>2126</v>
      </c>
      <c r="E40" s="454">
        <v>2078</v>
      </c>
      <c r="F40" s="454">
        <v>2036</v>
      </c>
      <c r="G40" s="454">
        <v>1995</v>
      </c>
      <c r="H40" s="461">
        <v>1955</v>
      </c>
      <c r="I40" s="462">
        <v>1919</v>
      </c>
      <c r="J40" s="462">
        <v>1883</v>
      </c>
      <c r="K40" s="462">
        <v>1850</v>
      </c>
      <c r="L40" s="462">
        <v>1819</v>
      </c>
      <c r="M40" s="462">
        <f t="shared" si="0"/>
        <v>1819</v>
      </c>
      <c r="N40" s="371"/>
      <c r="O40" s="371"/>
      <c r="P40" s="371"/>
      <c r="Q40" s="371"/>
      <c r="R40" s="371"/>
    </row>
    <row r="41" spans="1:18" x14ac:dyDescent="0.2">
      <c r="A41" s="179" t="s">
        <v>71</v>
      </c>
      <c r="B41" s="460">
        <f>pohjatiedot!AO36</f>
        <v>46576</v>
      </c>
      <c r="C41" s="507">
        <v>46576</v>
      </c>
      <c r="D41" s="454">
        <v>46379</v>
      </c>
      <c r="E41" s="454">
        <v>46350</v>
      </c>
      <c r="F41" s="454">
        <v>46326</v>
      </c>
      <c r="G41" s="454">
        <v>46304</v>
      </c>
      <c r="H41" s="461">
        <v>46281</v>
      </c>
      <c r="I41" s="462">
        <v>46255</v>
      </c>
      <c r="J41" s="462">
        <v>46227</v>
      </c>
      <c r="K41" s="462">
        <v>46199</v>
      </c>
      <c r="L41" s="462">
        <v>46167</v>
      </c>
      <c r="M41" s="462">
        <f t="shared" si="0"/>
        <v>46167</v>
      </c>
    </row>
    <row r="42" spans="1:18" x14ac:dyDescent="0.2">
      <c r="A42" s="179" t="s">
        <v>72</v>
      </c>
      <c r="B42" s="460">
        <f>pohjatiedot!AO37</f>
        <v>10344</v>
      </c>
      <c r="C42" s="507">
        <v>10344</v>
      </c>
      <c r="D42" s="454">
        <v>10376</v>
      </c>
      <c r="E42" s="454">
        <v>10328</v>
      </c>
      <c r="F42" s="454">
        <v>10286</v>
      </c>
      <c r="G42" s="454">
        <v>10246</v>
      </c>
      <c r="H42" s="461">
        <v>10210</v>
      </c>
      <c r="I42" s="462">
        <v>10174</v>
      </c>
      <c r="J42" s="462">
        <v>10144</v>
      </c>
      <c r="K42" s="462">
        <v>10110</v>
      </c>
      <c r="L42" s="462">
        <v>10077</v>
      </c>
      <c r="M42" s="462">
        <f t="shared" si="0"/>
        <v>10077</v>
      </c>
    </row>
    <row r="43" spans="1:18" x14ac:dyDescent="0.2">
      <c r="A43" s="179" t="s">
        <v>73</v>
      </c>
      <c r="B43" s="460">
        <f>pohjatiedot!AO38</f>
        <v>67848</v>
      </c>
      <c r="C43" s="507">
        <v>67848</v>
      </c>
      <c r="D43" s="454">
        <v>67066</v>
      </c>
      <c r="E43" s="454">
        <v>66922</v>
      </c>
      <c r="F43" s="454">
        <v>66779</v>
      </c>
      <c r="G43" s="454">
        <v>66631</v>
      </c>
      <c r="H43" s="461">
        <v>66478</v>
      </c>
      <c r="I43" s="462">
        <v>66320</v>
      </c>
      <c r="J43" s="462">
        <v>66150</v>
      </c>
      <c r="K43" s="462">
        <v>65976</v>
      </c>
      <c r="L43" s="462">
        <v>65796</v>
      </c>
      <c r="M43" s="462">
        <f t="shared" si="0"/>
        <v>65796</v>
      </c>
    </row>
    <row r="44" spans="1:18" x14ac:dyDescent="0.2">
      <c r="A44" s="179" t="s">
        <v>74</v>
      </c>
      <c r="B44" s="460">
        <f>pohjatiedot!AO39</f>
        <v>9848</v>
      </c>
      <c r="C44" s="507">
        <v>9848</v>
      </c>
      <c r="D44" s="454">
        <v>9711</v>
      </c>
      <c r="E44" s="454">
        <v>9649</v>
      </c>
      <c r="F44" s="454">
        <v>9580</v>
      </c>
      <c r="G44" s="454">
        <v>9508</v>
      </c>
      <c r="H44" s="461">
        <v>9434</v>
      </c>
      <c r="I44" s="462">
        <v>9358</v>
      </c>
      <c r="J44" s="462">
        <v>9282</v>
      </c>
      <c r="K44" s="462">
        <v>9207</v>
      </c>
      <c r="L44" s="462">
        <v>9136</v>
      </c>
      <c r="M44" s="462">
        <f t="shared" si="0"/>
        <v>9136</v>
      </c>
    </row>
    <row r="45" spans="1:18" x14ac:dyDescent="0.2">
      <c r="A45" s="179" t="s">
        <v>75</v>
      </c>
      <c r="B45" s="460">
        <f>pohjatiedot!AO40</f>
        <v>21124</v>
      </c>
      <c r="C45" s="507">
        <v>21124</v>
      </c>
      <c r="D45" s="454">
        <v>20923</v>
      </c>
      <c r="E45" s="454">
        <v>20752</v>
      </c>
      <c r="F45" s="454">
        <v>20585</v>
      </c>
      <c r="G45" s="454">
        <v>20418</v>
      </c>
      <c r="H45" s="461">
        <v>20254</v>
      </c>
      <c r="I45" s="462">
        <v>20093</v>
      </c>
      <c r="J45" s="462">
        <v>19932</v>
      </c>
      <c r="K45" s="462">
        <v>19771</v>
      </c>
      <c r="L45" s="462">
        <v>19607</v>
      </c>
      <c r="M45" s="462">
        <f t="shared" si="0"/>
        <v>19607</v>
      </c>
    </row>
    <row r="46" spans="1:18" x14ac:dyDescent="0.2">
      <c r="A46" s="179" t="s">
        <v>76</v>
      </c>
      <c r="B46" s="460">
        <f>pohjatiedot!AO41</f>
        <v>6625</v>
      </c>
      <c r="C46" s="507">
        <v>6625</v>
      </c>
      <c r="D46" s="454">
        <v>6611</v>
      </c>
      <c r="E46" s="454">
        <v>6565</v>
      </c>
      <c r="F46" s="454">
        <v>6518</v>
      </c>
      <c r="G46" s="454">
        <v>6474</v>
      </c>
      <c r="H46" s="461">
        <v>6426</v>
      </c>
      <c r="I46" s="462">
        <v>6383</v>
      </c>
      <c r="J46" s="462">
        <v>6338</v>
      </c>
      <c r="K46" s="462">
        <v>6295</v>
      </c>
      <c r="L46" s="462">
        <v>6252</v>
      </c>
      <c r="M46" s="462">
        <f t="shared" si="0"/>
        <v>6252</v>
      </c>
    </row>
    <row r="47" spans="1:18" x14ac:dyDescent="0.2">
      <c r="A47" s="179" t="s">
        <v>77</v>
      </c>
      <c r="B47" s="460">
        <f>pohjatiedot!AO42</f>
        <v>6866</v>
      </c>
      <c r="C47" s="507">
        <v>6866</v>
      </c>
      <c r="D47" s="454">
        <v>6786</v>
      </c>
      <c r="E47" s="454">
        <v>6726</v>
      </c>
      <c r="F47" s="454">
        <v>6668</v>
      </c>
      <c r="G47" s="454">
        <v>6613</v>
      </c>
      <c r="H47" s="461">
        <v>6560</v>
      </c>
      <c r="I47" s="462">
        <v>6510</v>
      </c>
      <c r="J47" s="462">
        <v>6461</v>
      </c>
      <c r="K47" s="462">
        <v>6416</v>
      </c>
      <c r="L47" s="462">
        <v>6367</v>
      </c>
      <c r="M47" s="462">
        <f t="shared" si="0"/>
        <v>6367</v>
      </c>
    </row>
    <row r="48" spans="1:18" x14ac:dyDescent="0.2">
      <c r="A48" s="179" t="s">
        <v>78</v>
      </c>
      <c r="B48" s="460">
        <f>pohjatiedot!AO43</f>
        <v>12294</v>
      </c>
      <c r="C48" s="507">
        <v>12294</v>
      </c>
      <c r="D48" s="454">
        <v>12233</v>
      </c>
      <c r="E48" s="454">
        <v>12235</v>
      </c>
      <c r="F48" s="454">
        <v>12235</v>
      </c>
      <c r="G48" s="454">
        <v>12231</v>
      </c>
      <c r="H48" s="461">
        <v>12225</v>
      </c>
      <c r="I48" s="462">
        <v>12214</v>
      </c>
      <c r="J48" s="462">
        <v>12198</v>
      </c>
      <c r="K48" s="462">
        <v>12179</v>
      </c>
      <c r="L48" s="462">
        <v>12162</v>
      </c>
      <c r="M48" s="462">
        <f t="shared" si="0"/>
        <v>12162</v>
      </c>
    </row>
    <row r="49" spans="1:13" x14ac:dyDescent="0.2">
      <c r="A49" s="179" t="s">
        <v>79</v>
      </c>
      <c r="B49" s="460">
        <f>pohjatiedot!AO44</f>
        <v>4749</v>
      </c>
      <c r="C49" s="507">
        <v>4749</v>
      </c>
      <c r="D49" s="454">
        <v>4614</v>
      </c>
      <c r="E49" s="454">
        <v>4506</v>
      </c>
      <c r="F49" s="454">
        <v>4404</v>
      </c>
      <c r="G49" s="454">
        <v>4306</v>
      </c>
      <c r="H49" s="461">
        <v>4215</v>
      </c>
      <c r="I49" s="462">
        <v>4124</v>
      </c>
      <c r="J49" s="462">
        <v>4041</v>
      </c>
      <c r="K49" s="462">
        <v>3960</v>
      </c>
      <c r="L49" s="462">
        <v>3882</v>
      </c>
      <c r="M49" s="462">
        <f t="shared" si="0"/>
        <v>3882</v>
      </c>
    </row>
    <row r="50" spans="1:13" x14ac:dyDescent="0.2">
      <c r="A50" s="179" t="s">
        <v>80</v>
      </c>
      <c r="B50" s="460">
        <f>pohjatiedot!AO45</f>
        <v>26075</v>
      </c>
      <c r="C50" s="507">
        <v>26075</v>
      </c>
      <c r="D50" s="454">
        <v>26042</v>
      </c>
      <c r="E50" s="454">
        <v>25761</v>
      </c>
      <c r="F50" s="454">
        <v>25484</v>
      </c>
      <c r="G50" s="454">
        <v>25207</v>
      </c>
      <c r="H50" s="461">
        <v>24938</v>
      </c>
      <c r="I50" s="462">
        <v>24671</v>
      </c>
      <c r="J50" s="462">
        <v>24413</v>
      </c>
      <c r="K50" s="462">
        <v>24167</v>
      </c>
      <c r="L50" s="462">
        <v>23922</v>
      </c>
      <c r="M50" s="462">
        <f t="shared" si="0"/>
        <v>23922</v>
      </c>
    </row>
    <row r="51" spans="1:13" x14ac:dyDescent="0.2">
      <c r="A51" s="179" t="s">
        <v>81</v>
      </c>
      <c r="B51" s="460">
        <f>pohjatiedot!AO46</f>
        <v>6862</v>
      </c>
      <c r="C51" s="507">
        <v>6862</v>
      </c>
      <c r="D51" s="454">
        <v>7018</v>
      </c>
      <c r="E51" s="454">
        <v>7047</v>
      </c>
      <c r="F51" s="454">
        <v>7075</v>
      </c>
      <c r="G51" s="454">
        <v>7099</v>
      </c>
      <c r="H51" s="461">
        <v>7121</v>
      </c>
      <c r="I51" s="462">
        <v>7141</v>
      </c>
      <c r="J51" s="462">
        <v>7159</v>
      </c>
      <c r="K51" s="462">
        <v>7173</v>
      </c>
      <c r="L51" s="462">
        <v>7185</v>
      </c>
      <c r="M51" s="462">
        <f t="shared" si="0"/>
        <v>7185</v>
      </c>
    </row>
    <row r="52" spans="1:13" x14ac:dyDescent="0.2">
      <c r="A52" s="179" t="s">
        <v>82</v>
      </c>
      <c r="B52" s="460">
        <f>pohjatiedot!AO47</f>
        <v>5321</v>
      </c>
      <c r="C52" s="507">
        <v>5321</v>
      </c>
      <c r="D52" s="454">
        <v>5301</v>
      </c>
      <c r="E52" s="454">
        <v>5271</v>
      </c>
      <c r="F52" s="454">
        <v>5243</v>
      </c>
      <c r="G52" s="454">
        <v>5215</v>
      </c>
      <c r="H52" s="461">
        <v>5188</v>
      </c>
      <c r="I52" s="462">
        <v>5161</v>
      </c>
      <c r="J52" s="462">
        <v>5137</v>
      </c>
      <c r="K52" s="462">
        <v>5112</v>
      </c>
      <c r="L52" s="462">
        <v>5088</v>
      </c>
      <c r="M52" s="462">
        <f t="shared" si="0"/>
        <v>5088</v>
      </c>
    </row>
    <row r="53" spans="1:13" x14ac:dyDescent="0.2">
      <c r="A53" s="179" t="s">
        <v>83</v>
      </c>
      <c r="B53" s="460">
        <f>pohjatiedot!AO48</f>
        <v>1925</v>
      </c>
      <c r="C53" s="507">
        <v>1925</v>
      </c>
      <c r="D53" s="454">
        <v>1837</v>
      </c>
      <c r="E53" s="454">
        <v>1796</v>
      </c>
      <c r="F53" s="454">
        <v>1760</v>
      </c>
      <c r="G53" s="454">
        <v>1726</v>
      </c>
      <c r="H53" s="461">
        <v>1695</v>
      </c>
      <c r="I53" s="462">
        <v>1666</v>
      </c>
      <c r="J53" s="462">
        <v>1639</v>
      </c>
      <c r="K53" s="462">
        <v>1615</v>
      </c>
      <c r="L53" s="462">
        <v>1590</v>
      </c>
      <c r="M53" s="462">
        <f t="shared" si="0"/>
        <v>1590</v>
      </c>
    </row>
    <row r="54" spans="1:13" x14ac:dyDescent="0.2">
      <c r="A54" s="179" t="s">
        <v>84</v>
      </c>
      <c r="B54" s="460">
        <f>pohjatiedot!AO49</f>
        <v>4471</v>
      </c>
      <c r="C54" s="507">
        <v>4471</v>
      </c>
      <c r="D54" s="454">
        <v>4430</v>
      </c>
      <c r="E54" s="454">
        <v>4375</v>
      </c>
      <c r="F54" s="454">
        <v>4325</v>
      </c>
      <c r="G54" s="454">
        <v>4273</v>
      </c>
      <c r="H54" s="461">
        <v>4220</v>
      </c>
      <c r="I54" s="462">
        <v>4172</v>
      </c>
      <c r="J54" s="462">
        <v>4123</v>
      </c>
      <c r="K54" s="462">
        <v>4075</v>
      </c>
      <c r="L54" s="462">
        <v>4030</v>
      </c>
      <c r="M54" s="462">
        <f t="shared" si="0"/>
        <v>4030</v>
      </c>
    </row>
    <row r="55" spans="1:13" x14ac:dyDescent="0.2">
      <c r="A55" s="179" t="s">
        <v>85</v>
      </c>
      <c r="B55" s="460">
        <f>pohjatiedot!AO50</f>
        <v>16237</v>
      </c>
      <c r="C55" s="507">
        <v>16237</v>
      </c>
      <c r="D55" s="454">
        <v>16184</v>
      </c>
      <c r="E55" s="454">
        <v>16100</v>
      </c>
      <c r="F55" s="454">
        <v>16018</v>
      </c>
      <c r="G55" s="454">
        <v>15935</v>
      </c>
      <c r="H55" s="461">
        <v>15853</v>
      </c>
      <c r="I55" s="462">
        <v>15769</v>
      </c>
      <c r="J55" s="462">
        <v>15683</v>
      </c>
      <c r="K55" s="462">
        <v>15595</v>
      </c>
      <c r="L55" s="462">
        <v>15511</v>
      </c>
      <c r="M55" s="462">
        <f t="shared" si="0"/>
        <v>15511</v>
      </c>
    </row>
    <row r="56" spans="1:13" x14ac:dyDescent="0.2">
      <c r="A56" s="179" t="s">
        <v>86</v>
      </c>
      <c r="B56" s="460">
        <f>pohjatiedot!AO51</f>
        <v>76935</v>
      </c>
      <c r="C56" s="507">
        <v>76935</v>
      </c>
      <c r="D56" s="454">
        <v>77406</v>
      </c>
      <c r="E56" s="454">
        <v>77637</v>
      </c>
      <c r="F56" s="454">
        <v>77856</v>
      </c>
      <c r="G56" s="454">
        <v>78066</v>
      </c>
      <c r="H56" s="461">
        <v>78265</v>
      </c>
      <c r="I56" s="462">
        <v>78457</v>
      </c>
      <c r="J56" s="462">
        <v>78636</v>
      </c>
      <c r="K56" s="462">
        <v>78805</v>
      </c>
      <c r="L56" s="462">
        <v>78959</v>
      </c>
      <c r="M56" s="462">
        <f t="shared" si="0"/>
        <v>78959</v>
      </c>
    </row>
    <row r="57" spans="1:13" x14ac:dyDescent="0.2">
      <c r="A57" s="179" t="s">
        <v>87</v>
      </c>
      <c r="B57" s="460">
        <f>pohjatiedot!AO52</f>
        <v>5061</v>
      </c>
      <c r="C57" s="507">
        <v>5061</v>
      </c>
      <c r="D57" s="454">
        <v>4969</v>
      </c>
      <c r="E57" s="454">
        <v>4896</v>
      </c>
      <c r="F57" s="454">
        <v>4824</v>
      </c>
      <c r="G57" s="454">
        <v>4759</v>
      </c>
      <c r="H57" s="461">
        <v>4697</v>
      </c>
      <c r="I57" s="462">
        <v>4639</v>
      </c>
      <c r="J57" s="462">
        <v>4584</v>
      </c>
      <c r="K57" s="462">
        <v>4533</v>
      </c>
      <c r="L57" s="462">
        <v>4484</v>
      </c>
      <c r="M57" s="462">
        <f t="shared" si="0"/>
        <v>4484</v>
      </c>
    </row>
    <row r="58" spans="1:13" x14ac:dyDescent="0.2">
      <c r="A58" s="179" t="s">
        <v>88</v>
      </c>
      <c r="B58" s="460">
        <f>pohjatiedot!AO53</f>
        <v>4689</v>
      </c>
      <c r="C58" s="507">
        <v>4689</v>
      </c>
      <c r="D58" s="454">
        <v>4597</v>
      </c>
      <c r="E58" s="454">
        <v>4526</v>
      </c>
      <c r="F58" s="454">
        <v>4456</v>
      </c>
      <c r="G58" s="454">
        <v>4389</v>
      </c>
      <c r="H58" s="461">
        <v>4325</v>
      </c>
      <c r="I58" s="462">
        <v>4262</v>
      </c>
      <c r="J58" s="462">
        <v>4204</v>
      </c>
      <c r="K58" s="462">
        <v>4145</v>
      </c>
      <c r="L58" s="462">
        <v>4088</v>
      </c>
      <c r="M58" s="462">
        <f t="shared" si="0"/>
        <v>4088</v>
      </c>
    </row>
    <row r="59" spans="1:13" x14ac:dyDescent="0.2">
      <c r="A59" s="179" t="s">
        <v>89</v>
      </c>
      <c r="B59" s="460">
        <f>pohjatiedot!AO54</f>
        <v>4297</v>
      </c>
      <c r="C59" s="507">
        <v>4297</v>
      </c>
      <c r="D59" s="454">
        <v>4244</v>
      </c>
      <c r="E59" s="454">
        <v>4176</v>
      </c>
      <c r="F59" s="454">
        <v>4109</v>
      </c>
      <c r="G59" s="454">
        <v>4048</v>
      </c>
      <c r="H59" s="461">
        <v>3987</v>
      </c>
      <c r="I59" s="462">
        <v>3927</v>
      </c>
      <c r="J59" s="462">
        <v>3872</v>
      </c>
      <c r="K59" s="462">
        <v>3818</v>
      </c>
      <c r="L59" s="462">
        <v>3765</v>
      </c>
      <c r="M59" s="462">
        <f t="shared" si="0"/>
        <v>3765</v>
      </c>
    </row>
    <row r="60" spans="1:13" x14ac:dyDescent="0.2">
      <c r="A60" s="179" t="s">
        <v>90</v>
      </c>
      <c r="B60" s="460">
        <f>pohjatiedot!AO55</f>
        <v>4527</v>
      </c>
      <c r="C60" s="507">
        <v>4527</v>
      </c>
      <c r="D60" s="454">
        <v>4420</v>
      </c>
      <c r="E60" s="454">
        <v>4331</v>
      </c>
      <c r="F60" s="454">
        <v>4242</v>
      </c>
      <c r="G60" s="454">
        <v>4157</v>
      </c>
      <c r="H60" s="461">
        <v>4075</v>
      </c>
      <c r="I60" s="462">
        <v>3996</v>
      </c>
      <c r="J60" s="462">
        <v>3922</v>
      </c>
      <c r="K60" s="462">
        <v>3852</v>
      </c>
      <c r="L60" s="462">
        <v>3786</v>
      </c>
      <c r="M60" s="462">
        <f t="shared" si="0"/>
        <v>3786</v>
      </c>
    </row>
    <row r="61" spans="1:13" x14ac:dyDescent="0.2">
      <c r="A61" s="179" t="s">
        <v>91</v>
      </c>
      <c r="B61" s="460">
        <f>pohjatiedot!AO56</f>
        <v>1800</v>
      </c>
      <c r="C61" s="507">
        <v>1800</v>
      </c>
      <c r="D61" s="454">
        <v>1799</v>
      </c>
      <c r="E61" s="454">
        <v>1773</v>
      </c>
      <c r="F61" s="454">
        <v>1750</v>
      </c>
      <c r="G61" s="454">
        <v>1726</v>
      </c>
      <c r="H61" s="461">
        <v>1703</v>
      </c>
      <c r="I61" s="462">
        <v>1682</v>
      </c>
      <c r="J61" s="462">
        <v>1663</v>
      </c>
      <c r="K61" s="462">
        <v>1644</v>
      </c>
      <c r="L61" s="462">
        <v>1629</v>
      </c>
      <c r="M61" s="462">
        <f t="shared" si="0"/>
        <v>1629</v>
      </c>
    </row>
    <row r="62" spans="1:13" x14ac:dyDescent="0.2">
      <c r="A62" s="179" t="s">
        <v>92</v>
      </c>
      <c r="B62" s="460">
        <f>pohjatiedot!AO57</f>
        <v>5932</v>
      </c>
      <c r="C62" s="507">
        <v>5932</v>
      </c>
      <c r="D62" s="454">
        <v>5943</v>
      </c>
      <c r="E62" s="454">
        <v>5861</v>
      </c>
      <c r="F62" s="454">
        <v>5779</v>
      </c>
      <c r="G62" s="454">
        <v>5701</v>
      </c>
      <c r="H62" s="461">
        <v>5624</v>
      </c>
      <c r="I62" s="462">
        <v>5549</v>
      </c>
      <c r="J62" s="462">
        <v>5476</v>
      </c>
      <c r="K62" s="462">
        <v>5406</v>
      </c>
      <c r="L62" s="462">
        <v>5339</v>
      </c>
      <c r="M62" s="462">
        <f t="shared" si="0"/>
        <v>5339</v>
      </c>
    </row>
    <row r="63" spans="1:13" x14ac:dyDescent="0.2">
      <c r="A63" s="179" t="s">
        <v>93</v>
      </c>
      <c r="B63" s="460">
        <f>pohjatiedot!AO58</f>
        <v>143420</v>
      </c>
      <c r="C63" s="507">
        <v>143420</v>
      </c>
      <c r="D63" s="454">
        <v>144392</v>
      </c>
      <c r="E63" s="454">
        <v>145313</v>
      </c>
      <c r="F63" s="454">
        <v>146204</v>
      </c>
      <c r="G63" s="454">
        <v>147060</v>
      </c>
      <c r="H63" s="461">
        <v>147882</v>
      </c>
      <c r="I63" s="462">
        <v>148658</v>
      </c>
      <c r="J63" s="462">
        <v>149396</v>
      </c>
      <c r="K63" s="462">
        <v>150093</v>
      </c>
      <c r="L63" s="462">
        <v>150752</v>
      </c>
      <c r="M63" s="462">
        <f t="shared" si="0"/>
        <v>150752</v>
      </c>
    </row>
    <row r="64" spans="1:13" x14ac:dyDescent="0.2">
      <c r="A64" s="179" t="s">
        <v>94</v>
      </c>
      <c r="B64" s="460">
        <f>pohjatiedot!AO59</f>
        <v>1707</v>
      </c>
      <c r="C64" s="507">
        <v>1707</v>
      </c>
      <c r="D64" s="454">
        <v>1720</v>
      </c>
      <c r="E64" s="454">
        <v>1697</v>
      </c>
      <c r="F64" s="454">
        <v>1673</v>
      </c>
      <c r="G64" s="454">
        <v>1652</v>
      </c>
      <c r="H64" s="461">
        <v>1632</v>
      </c>
      <c r="I64" s="462">
        <v>1614</v>
      </c>
      <c r="J64" s="462">
        <v>1594</v>
      </c>
      <c r="K64" s="462">
        <v>1577</v>
      </c>
      <c r="L64" s="462">
        <v>1559</v>
      </c>
      <c r="M64" s="462">
        <f t="shared" si="0"/>
        <v>1559</v>
      </c>
    </row>
    <row r="65" spans="1:13" x14ac:dyDescent="0.2">
      <c r="A65" s="179" t="s">
        <v>95</v>
      </c>
      <c r="B65" s="460">
        <f>pohjatiedot!AO60</f>
        <v>19887</v>
      </c>
      <c r="C65" s="507">
        <v>19887</v>
      </c>
      <c r="D65" s="454">
        <v>19640</v>
      </c>
      <c r="E65" s="454">
        <v>19351</v>
      </c>
      <c r="F65" s="454">
        <v>19074</v>
      </c>
      <c r="G65" s="454">
        <v>18810</v>
      </c>
      <c r="H65" s="461">
        <v>18557</v>
      </c>
      <c r="I65" s="462">
        <v>18311</v>
      </c>
      <c r="J65" s="462">
        <v>18074</v>
      </c>
      <c r="K65" s="462">
        <v>17842</v>
      </c>
      <c r="L65" s="462">
        <v>17614</v>
      </c>
      <c r="M65" s="462">
        <f t="shared" si="0"/>
        <v>17614</v>
      </c>
    </row>
    <row r="66" spans="1:13" x14ac:dyDescent="0.2">
      <c r="A66" s="179" t="s">
        <v>96</v>
      </c>
      <c r="B66" s="460">
        <f>pohjatiedot!AO61</f>
        <v>44455</v>
      </c>
      <c r="C66" s="507">
        <v>44455</v>
      </c>
      <c r="D66" s="454">
        <v>44909</v>
      </c>
      <c r="E66" s="454">
        <v>45395</v>
      </c>
      <c r="F66" s="454">
        <v>45864</v>
      </c>
      <c r="G66" s="454">
        <v>46313</v>
      </c>
      <c r="H66" s="461">
        <v>46749</v>
      </c>
      <c r="I66" s="462">
        <v>47167</v>
      </c>
      <c r="J66" s="462">
        <v>47563</v>
      </c>
      <c r="K66" s="462">
        <v>47937</v>
      </c>
      <c r="L66" s="462">
        <v>48289</v>
      </c>
      <c r="M66" s="462">
        <f t="shared" si="0"/>
        <v>48289</v>
      </c>
    </row>
    <row r="67" spans="1:13" x14ac:dyDescent="0.2">
      <c r="A67" s="179" t="s">
        <v>97</v>
      </c>
      <c r="B67" s="460">
        <f>pohjatiedot!AO62</f>
        <v>34667</v>
      </c>
      <c r="C67" s="507">
        <v>34667</v>
      </c>
      <c r="D67" s="454">
        <v>34269</v>
      </c>
      <c r="E67" s="454">
        <v>34517</v>
      </c>
      <c r="F67" s="454">
        <v>34747</v>
      </c>
      <c r="G67" s="454">
        <v>34963</v>
      </c>
      <c r="H67" s="461">
        <v>35156</v>
      </c>
      <c r="I67" s="462">
        <v>35335</v>
      </c>
      <c r="J67" s="462">
        <v>35492</v>
      </c>
      <c r="K67" s="462">
        <v>35636</v>
      </c>
      <c r="L67" s="462">
        <v>35760</v>
      </c>
      <c r="M67" s="462">
        <f t="shared" si="0"/>
        <v>35760</v>
      </c>
    </row>
    <row r="68" spans="1:13" x14ac:dyDescent="0.2">
      <c r="A68" s="179" t="s">
        <v>98</v>
      </c>
      <c r="B68" s="460">
        <f>pohjatiedot!AO63</f>
        <v>2807</v>
      </c>
      <c r="C68" s="507">
        <v>2807</v>
      </c>
      <c r="D68" s="454">
        <v>2817</v>
      </c>
      <c r="E68" s="454">
        <v>2766</v>
      </c>
      <c r="F68" s="454">
        <v>2715</v>
      </c>
      <c r="G68" s="454">
        <v>2668</v>
      </c>
      <c r="H68" s="461">
        <v>2624</v>
      </c>
      <c r="I68" s="462">
        <v>2582</v>
      </c>
      <c r="J68" s="462">
        <v>2545</v>
      </c>
      <c r="K68" s="462">
        <v>2506</v>
      </c>
      <c r="L68" s="462">
        <v>2471</v>
      </c>
      <c r="M68" s="462">
        <f t="shared" si="0"/>
        <v>2471</v>
      </c>
    </row>
    <row r="69" spans="1:13" x14ac:dyDescent="0.2">
      <c r="A69" s="179" t="s">
        <v>99</v>
      </c>
      <c r="B69" s="460">
        <f>pohjatiedot!AO64</f>
        <v>36567</v>
      </c>
      <c r="C69" s="507">
        <v>36567</v>
      </c>
      <c r="D69" s="454">
        <v>36256</v>
      </c>
      <c r="E69" s="454">
        <v>36038</v>
      </c>
      <c r="F69" s="454">
        <v>35823</v>
      </c>
      <c r="G69" s="454">
        <v>35614</v>
      </c>
      <c r="H69" s="461">
        <v>35404</v>
      </c>
      <c r="I69" s="462">
        <v>35191</v>
      </c>
      <c r="J69" s="462">
        <v>34981</v>
      </c>
      <c r="K69" s="462">
        <v>34769</v>
      </c>
      <c r="L69" s="462">
        <v>34562</v>
      </c>
      <c r="M69" s="462">
        <f t="shared" si="0"/>
        <v>34562</v>
      </c>
    </row>
    <row r="70" spans="1:13" s="357" customFormat="1" x14ac:dyDescent="0.2">
      <c r="A70" s="352" t="s">
        <v>100</v>
      </c>
      <c r="B70" s="460">
        <f>pohjatiedot!AO65</f>
        <v>12400</v>
      </c>
      <c r="C70" s="460">
        <v>12400</v>
      </c>
      <c r="D70" s="456">
        <v>12161</v>
      </c>
      <c r="E70" s="456">
        <v>12083</v>
      </c>
      <c r="F70" s="456">
        <v>12004</v>
      </c>
      <c r="G70" s="456">
        <v>11924</v>
      </c>
      <c r="H70" s="461">
        <v>11844</v>
      </c>
      <c r="I70" s="462">
        <v>11763</v>
      </c>
      <c r="J70" s="462">
        <v>11684</v>
      </c>
      <c r="K70" s="462">
        <v>11605</v>
      </c>
      <c r="L70" s="462">
        <v>11527</v>
      </c>
      <c r="M70" s="462">
        <f t="shared" si="0"/>
        <v>11527</v>
      </c>
    </row>
    <row r="71" spans="1:13" s="357" customFormat="1" x14ac:dyDescent="0.2">
      <c r="A71" s="352" t="s">
        <v>101</v>
      </c>
      <c r="B71" s="460">
        <f>pohjatiedot!AO66</f>
        <v>32214</v>
      </c>
      <c r="C71" s="460">
        <v>32214</v>
      </c>
      <c r="D71" s="456">
        <v>32321</v>
      </c>
      <c r="E71" s="456">
        <v>32504</v>
      </c>
      <c r="F71" s="456">
        <v>32666</v>
      </c>
      <c r="G71" s="456">
        <v>32812</v>
      </c>
      <c r="H71" s="461">
        <v>32944</v>
      </c>
      <c r="I71" s="462">
        <v>33065</v>
      </c>
      <c r="J71" s="462">
        <v>33173</v>
      </c>
      <c r="K71" s="462">
        <v>33270</v>
      </c>
      <c r="L71" s="462">
        <v>33360</v>
      </c>
      <c r="M71" s="462">
        <f t="shared" si="0"/>
        <v>33360</v>
      </c>
    </row>
    <row r="72" spans="1:13" x14ac:dyDescent="0.2">
      <c r="A72" s="179" t="s">
        <v>102</v>
      </c>
      <c r="B72" s="460">
        <f>pohjatiedot!AO67</f>
        <v>5312</v>
      </c>
      <c r="C72" s="507">
        <v>5312</v>
      </c>
      <c r="D72" s="454">
        <v>5232</v>
      </c>
      <c r="E72" s="454">
        <v>5168</v>
      </c>
      <c r="F72" s="454">
        <v>5106</v>
      </c>
      <c r="G72" s="454">
        <v>5044</v>
      </c>
      <c r="H72" s="461">
        <v>4984</v>
      </c>
      <c r="I72" s="462">
        <v>4926</v>
      </c>
      <c r="J72" s="462">
        <v>4869</v>
      </c>
      <c r="K72" s="462">
        <v>4814</v>
      </c>
      <c r="L72" s="462">
        <v>4761</v>
      </c>
      <c r="M72" s="462">
        <f t="shared" si="0"/>
        <v>4761</v>
      </c>
    </row>
    <row r="73" spans="1:13" x14ac:dyDescent="0.2">
      <c r="A73" s="179" t="s">
        <v>103</v>
      </c>
      <c r="B73" s="460">
        <f>pohjatiedot!AO68</f>
        <v>11163</v>
      </c>
      <c r="C73" s="507">
        <v>11163</v>
      </c>
      <c r="D73" s="454">
        <v>11138</v>
      </c>
      <c r="E73" s="454">
        <v>11046</v>
      </c>
      <c r="F73" s="454">
        <v>10954</v>
      </c>
      <c r="G73" s="454">
        <v>10865</v>
      </c>
      <c r="H73" s="461">
        <v>10778</v>
      </c>
      <c r="I73" s="462">
        <v>10694</v>
      </c>
      <c r="J73" s="462">
        <v>10616</v>
      </c>
      <c r="K73" s="462">
        <v>10539</v>
      </c>
      <c r="L73" s="462">
        <v>10465</v>
      </c>
      <c r="M73" s="462">
        <f t="shared" ref="M73:M136" si="1">L73</f>
        <v>10465</v>
      </c>
    </row>
    <row r="74" spans="1:13" x14ac:dyDescent="0.2">
      <c r="A74" s="179" t="s">
        <v>104</v>
      </c>
      <c r="B74" s="460">
        <f>pohjatiedot!AO69</f>
        <v>1323</v>
      </c>
      <c r="C74" s="507">
        <v>1323</v>
      </c>
      <c r="D74" s="454">
        <v>1285</v>
      </c>
      <c r="E74" s="454">
        <v>1264</v>
      </c>
      <c r="F74" s="454">
        <v>1243</v>
      </c>
      <c r="G74" s="454">
        <v>1223</v>
      </c>
      <c r="H74" s="461">
        <v>1206</v>
      </c>
      <c r="I74" s="462">
        <v>1188</v>
      </c>
      <c r="J74" s="462">
        <v>1173</v>
      </c>
      <c r="K74" s="462">
        <v>1157</v>
      </c>
      <c r="L74" s="462">
        <v>1143</v>
      </c>
      <c r="M74" s="462">
        <f t="shared" si="1"/>
        <v>1143</v>
      </c>
    </row>
    <row r="75" spans="1:13" x14ac:dyDescent="0.2">
      <c r="A75" s="179" t="s">
        <v>105</v>
      </c>
      <c r="B75" s="460">
        <f>pohjatiedot!AO70</f>
        <v>5426</v>
      </c>
      <c r="C75" s="507">
        <v>5426</v>
      </c>
      <c r="D75" s="454">
        <v>5355</v>
      </c>
      <c r="E75" s="454">
        <v>5310</v>
      </c>
      <c r="F75" s="454">
        <v>5268</v>
      </c>
      <c r="G75" s="454">
        <v>5226</v>
      </c>
      <c r="H75" s="461">
        <v>5186</v>
      </c>
      <c r="I75" s="462">
        <v>5148</v>
      </c>
      <c r="J75" s="462">
        <v>5117</v>
      </c>
      <c r="K75" s="462">
        <v>5082</v>
      </c>
      <c r="L75" s="462">
        <v>5049</v>
      </c>
      <c r="M75" s="462">
        <f t="shared" si="1"/>
        <v>5049</v>
      </c>
    </row>
    <row r="76" spans="1:13" x14ac:dyDescent="0.2">
      <c r="A76" s="179" t="s">
        <v>106</v>
      </c>
      <c r="B76" s="460">
        <f>pohjatiedot!AO71</f>
        <v>1207</v>
      </c>
      <c r="C76" s="507">
        <v>1207</v>
      </c>
      <c r="D76" s="454">
        <v>1167</v>
      </c>
      <c r="E76" s="454">
        <v>1138</v>
      </c>
      <c r="F76" s="454">
        <v>1110</v>
      </c>
      <c r="G76" s="454">
        <v>1083</v>
      </c>
      <c r="H76" s="461">
        <v>1060</v>
      </c>
      <c r="I76" s="462">
        <v>1037</v>
      </c>
      <c r="J76" s="462">
        <v>1016</v>
      </c>
      <c r="K76" s="462">
        <v>999</v>
      </c>
      <c r="L76" s="462">
        <v>980</v>
      </c>
      <c r="M76" s="462">
        <f t="shared" si="1"/>
        <v>980</v>
      </c>
    </row>
    <row r="77" spans="1:13" x14ac:dyDescent="0.2">
      <c r="A77" s="179" t="s">
        <v>107</v>
      </c>
      <c r="B77" s="460">
        <f>pohjatiedot!AO72</f>
        <v>8696</v>
      </c>
      <c r="C77" s="507">
        <v>8696</v>
      </c>
      <c r="D77" s="454">
        <v>8579</v>
      </c>
      <c r="E77" s="454">
        <v>8523</v>
      </c>
      <c r="F77" s="454">
        <v>8469</v>
      </c>
      <c r="G77" s="454">
        <v>8423</v>
      </c>
      <c r="H77" s="461">
        <v>8378</v>
      </c>
      <c r="I77" s="462">
        <v>8336</v>
      </c>
      <c r="J77" s="462">
        <v>8295</v>
      </c>
      <c r="K77" s="462">
        <v>8258</v>
      </c>
      <c r="L77" s="462">
        <v>8224</v>
      </c>
      <c r="M77" s="462">
        <f t="shared" si="1"/>
        <v>8224</v>
      </c>
    </row>
    <row r="78" spans="1:13" x14ac:dyDescent="0.2">
      <c r="A78" s="179" t="s">
        <v>108</v>
      </c>
      <c r="B78" s="460">
        <f>pohjatiedot!AO73</f>
        <v>3858</v>
      </c>
      <c r="C78" s="507">
        <v>3858</v>
      </c>
      <c r="D78" s="454">
        <v>3837</v>
      </c>
      <c r="E78" s="454">
        <v>3773</v>
      </c>
      <c r="F78" s="454">
        <v>3712</v>
      </c>
      <c r="G78" s="454">
        <v>3652</v>
      </c>
      <c r="H78" s="461">
        <v>3597</v>
      </c>
      <c r="I78" s="462">
        <v>3543</v>
      </c>
      <c r="J78" s="462">
        <v>3492</v>
      </c>
      <c r="K78" s="462">
        <v>3443</v>
      </c>
      <c r="L78" s="462">
        <v>3396</v>
      </c>
      <c r="M78" s="462">
        <f t="shared" si="1"/>
        <v>3396</v>
      </c>
    </row>
    <row r="79" spans="1:13" x14ac:dyDescent="0.2">
      <c r="A79" s="179" t="s">
        <v>109</v>
      </c>
      <c r="B79" s="460">
        <f>pohjatiedot!AO74</f>
        <v>2322</v>
      </c>
      <c r="C79" s="507">
        <v>2322</v>
      </c>
      <c r="D79" s="454">
        <v>2317</v>
      </c>
      <c r="E79" s="454">
        <v>2295</v>
      </c>
      <c r="F79" s="454">
        <v>2273</v>
      </c>
      <c r="G79" s="454">
        <v>2253</v>
      </c>
      <c r="H79" s="461">
        <v>2236</v>
      </c>
      <c r="I79" s="462">
        <v>2217</v>
      </c>
      <c r="J79" s="462">
        <v>2203</v>
      </c>
      <c r="K79" s="462">
        <v>2188</v>
      </c>
      <c r="L79" s="462">
        <v>2176</v>
      </c>
      <c r="M79" s="462">
        <f t="shared" si="1"/>
        <v>2176</v>
      </c>
    </row>
    <row r="80" spans="1:13" x14ac:dyDescent="0.2">
      <c r="A80" s="179" t="s">
        <v>110</v>
      </c>
      <c r="B80" s="460">
        <f>pohjatiedot!AO75</f>
        <v>1278</v>
      </c>
      <c r="C80" s="507">
        <v>1278</v>
      </c>
      <c r="D80" s="454">
        <v>1221</v>
      </c>
      <c r="E80" s="454">
        <v>1209</v>
      </c>
      <c r="F80" s="454">
        <v>1200</v>
      </c>
      <c r="G80" s="454">
        <v>1192</v>
      </c>
      <c r="H80" s="461">
        <v>1184</v>
      </c>
      <c r="I80" s="462">
        <v>1176</v>
      </c>
      <c r="J80" s="462">
        <v>1168</v>
      </c>
      <c r="K80" s="462">
        <v>1161</v>
      </c>
      <c r="L80" s="462">
        <v>1153</v>
      </c>
      <c r="M80" s="462">
        <f t="shared" si="1"/>
        <v>1153</v>
      </c>
    </row>
    <row r="81" spans="1:13" x14ac:dyDescent="0.2">
      <c r="A81" s="179" t="s">
        <v>111</v>
      </c>
      <c r="B81" s="460">
        <f>pohjatiedot!AO76</f>
        <v>13007</v>
      </c>
      <c r="C81" s="507">
        <v>13007</v>
      </c>
      <c r="D81" s="454">
        <v>12896</v>
      </c>
      <c r="E81" s="454">
        <v>12748</v>
      </c>
      <c r="F81" s="454">
        <v>12605</v>
      </c>
      <c r="G81" s="454">
        <v>12466</v>
      </c>
      <c r="H81" s="461">
        <v>12337</v>
      </c>
      <c r="I81" s="462">
        <v>12213</v>
      </c>
      <c r="J81" s="462">
        <v>12087</v>
      </c>
      <c r="K81" s="462">
        <v>11959</v>
      </c>
      <c r="L81" s="462">
        <v>11828</v>
      </c>
      <c r="M81" s="462">
        <f t="shared" si="1"/>
        <v>11828</v>
      </c>
    </row>
    <row r="82" spans="1:13" x14ac:dyDescent="0.2">
      <c r="A82" s="179" t="s">
        <v>112</v>
      </c>
      <c r="B82" s="460">
        <f>pohjatiedot!AO77</f>
        <v>15514</v>
      </c>
      <c r="C82" s="507">
        <v>15514</v>
      </c>
      <c r="D82" s="454">
        <v>15377</v>
      </c>
      <c r="E82" s="454">
        <v>15177</v>
      </c>
      <c r="F82" s="454">
        <v>14978</v>
      </c>
      <c r="G82" s="454">
        <v>14788</v>
      </c>
      <c r="H82" s="461">
        <v>14602</v>
      </c>
      <c r="I82" s="462">
        <v>14420</v>
      </c>
      <c r="J82" s="462">
        <v>14247</v>
      </c>
      <c r="K82" s="462">
        <v>14075</v>
      </c>
      <c r="L82" s="462">
        <v>13907</v>
      </c>
      <c r="M82" s="462">
        <f t="shared" si="1"/>
        <v>13907</v>
      </c>
    </row>
    <row r="83" spans="1:13" x14ac:dyDescent="0.2">
      <c r="A83" s="179" t="s">
        <v>113</v>
      </c>
      <c r="B83" s="460">
        <f>pohjatiedot!AO78</f>
        <v>10178</v>
      </c>
      <c r="C83" s="507">
        <v>10178</v>
      </c>
      <c r="D83" s="454">
        <v>9858</v>
      </c>
      <c r="E83" s="454">
        <v>9936</v>
      </c>
      <c r="F83" s="454">
        <v>10012</v>
      </c>
      <c r="G83" s="454">
        <v>10090</v>
      </c>
      <c r="H83" s="461">
        <v>10166</v>
      </c>
      <c r="I83" s="462">
        <v>10239</v>
      </c>
      <c r="J83" s="462">
        <v>10309</v>
      </c>
      <c r="K83" s="462">
        <v>10382</v>
      </c>
      <c r="L83" s="462">
        <v>10454</v>
      </c>
      <c r="M83" s="462">
        <f t="shared" si="1"/>
        <v>10454</v>
      </c>
    </row>
    <row r="84" spans="1:13" x14ac:dyDescent="0.2">
      <c r="A84" s="179" t="s">
        <v>114</v>
      </c>
      <c r="B84" s="460">
        <f>pohjatiedot!AO79</f>
        <v>4228</v>
      </c>
      <c r="C84" s="507">
        <v>4228</v>
      </c>
      <c r="D84" s="454">
        <v>4237</v>
      </c>
      <c r="E84" s="454">
        <v>4222</v>
      </c>
      <c r="F84" s="454">
        <v>4208</v>
      </c>
      <c r="G84" s="454">
        <v>4192</v>
      </c>
      <c r="H84" s="461">
        <v>4177</v>
      </c>
      <c r="I84" s="462">
        <v>4158</v>
      </c>
      <c r="J84" s="462">
        <v>4141</v>
      </c>
      <c r="K84" s="462">
        <v>4124</v>
      </c>
      <c r="L84" s="462">
        <v>4104</v>
      </c>
      <c r="M84" s="462">
        <f t="shared" si="1"/>
        <v>4104</v>
      </c>
    </row>
    <row r="85" spans="1:13" x14ac:dyDescent="0.2">
      <c r="A85" s="179" t="s">
        <v>115</v>
      </c>
      <c r="B85" s="460">
        <f>pohjatiedot!AO80</f>
        <v>2155</v>
      </c>
      <c r="C85" s="507">
        <v>2155</v>
      </c>
      <c r="D85" s="454">
        <v>2148</v>
      </c>
      <c r="E85" s="454">
        <v>2118</v>
      </c>
      <c r="F85" s="454">
        <v>2093</v>
      </c>
      <c r="G85" s="454">
        <v>2067</v>
      </c>
      <c r="H85" s="461">
        <v>2040</v>
      </c>
      <c r="I85" s="462">
        <v>2017</v>
      </c>
      <c r="J85" s="462">
        <v>1995</v>
      </c>
      <c r="K85" s="462">
        <v>1971</v>
      </c>
      <c r="L85" s="462">
        <v>1949</v>
      </c>
      <c r="M85" s="462">
        <f t="shared" si="1"/>
        <v>1949</v>
      </c>
    </row>
    <row r="86" spans="1:13" x14ac:dyDescent="0.2">
      <c r="A86" s="179" t="s">
        <v>23</v>
      </c>
      <c r="B86" s="460">
        <f>pohjatiedot!AO81</f>
        <v>20437</v>
      </c>
      <c r="C86" s="507">
        <v>20437</v>
      </c>
      <c r="D86" s="454">
        <v>20272</v>
      </c>
      <c r="E86" s="454">
        <v>20058</v>
      </c>
      <c r="F86" s="454">
        <v>19851</v>
      </c>
      <c r="G86" s="454">
        <v>19653</v>
      </c>
      <c r="H86" s="461">
        <v>19458</v>
      </c>
      <c r="I86" s="462">
        <v>19269</v>
      </c>
      <c r="J86" s="462">
        <v>19082</v>
      </c>
      <c r="K86" s="462">
        <v>18903</v>
      </c>
      <c r="L86" s="462">
        <v>18730</v>
      </c>
      <c r="M86" s="462">
        <f t="shared" si="1"/>
        <v>18730</v>
      </c>
    </row>
    <row r="87" spans="1:13" x14ac:dyDescent="0.2">
      <c r="A87" s="179" t="s">
        <v>116</v>
      </c>
      <c r="B87" s="460">
        <f>pohjatiedot!AO82</f>
        <v>7191</v>
      </c>
      <c r="C87" s="507">
        <v>7191</v>
      </c>
      <c r="D87" s="454">
        <v>6982</v>
      </c>
      <c r="E87" s="454">
        <v>6864</v>
      </c>
      <c r="F87" s="454">
        <v>6755</v>
      </c>
      <c r="G87" s="454">
        <v>6652</v>
      </c>
      <c r="H87" s="461">
        <v>6550</v>
      </c>
      <c r="I87" s="462">
        <v>6455</v>
      </c>
      <c r="J87" s="462">
        <v>6362</v>
      </c>
      <c r="K87" s="462">
        <v>6273</v>
      </c>
      <c r="L87" s="462">
        <v>6186</v>
      </c>
      <c r="M87" s="462">
        <f t="shared" si="1"/>
        <v>6186</v>
      </c>
    </row>
    <row r="88" spans="1:13" x14ac:dyDescent="0.2">
      <c r="A88" s="179" t="s">
        <v>117</v>
      </c>
      <c r="B88" s="460">
        <f>pohjatiedot!AO83</f>
        <v>7984</v>
      </c>
      <c r="C88" s="507">
        <v>7984</v>
      </c>
      <c r="D88" s="454">
        <v>7869</v>
      </c>
      <c r="E88" s="454">
        <v>7786</v>
      </c>
      <c r="F88" s="454">
        <v>7706</v>
      </c>
      <c r="G88" s="454">
        <v>7629</v>
      </c>
      <c r="H88" s="461">
        <v>7556</v>
      </c>
      <c r="I88" s="462">
        <v>7486</v>
      </c>
      <c r="J88" s="462">
        <v>7418</v>
      </c>
      <c r="K88" s="462">
        <v>7349</v>
      </c>
      <c r="L88" s="462">
        <v>7284</v>
      </c>
      <c r="M88" s="462">
        <f t="shared" si="1"/>
        <v>7284</v>
      </c>
    </row>
    <row r="89" spans="1:13" x14ac:dyDescent="0.2">
      <c r="A89" s="179" t="s">
        <v>361</v>
      </c>
      <c r="B89" s="460">
        <f>pohjatiedot!AO84</f>
        <v>6609</v>
      </c>
      <c r="C89" s="507">
        <v>6609</v>
      </c>
      <c r="D89" s="454">
        <v>6552</v>
      </c>
      <c r="E89" s="454">
        <v>6501</v>
      </c>
      <c r="F89" s="454">
        <v>6451</v>
      </c>
      <c r="G89" s="454">
        <v>6405</v>
      </c>
      <c r="H89" s="461">
        <v>6358</v>
      </c>
      <c r="I89" s="462">
        <v>6316</v>
      </c>
      <c r="J89" s="462">
        <v>6275</v>
      </c>
      <c r="K89" s="462">
        <v>6237</v>
      </c>
      <c r="L89" s="462">
        <v>6202</v>
      </c>
      <c r="M89" s="462">
        <f t="shared" si="1"/>
        <v>6202</v>
      </c>
    </row>
    <row r="90" spans="1:13" x14ac:dyDescent="0.2">
      <c r="A90" s="179" t="s">
        <v>118</v>
      </c>
      <c r="B90" s="460">
        <f>pohjatiedot!AO85</f>
        <v>18796</v>
      </c>
      <c r="C90" s="507">
        <v>18796</v>
      </c>
      <c r="D90" s="454">
        <v>18562</v>
      </c>
      <c r="E90" s="454">
        <v>18715</v>
      </c>
      <c r="F90" s="454">
        <v>18847</v>
      </c>
      <c r="G90" s="454">
        <v>18958</v>
      </c>
      <c r="H90" s="461">
        <v>19047</v>
      </c>
      <c r="I90" s="462">
        <v>19120</v>
      </c>
      <c r="J90" s="462">
        <v>19179</v>
      </c>
      <c r="K90" s="462">
        <v>19223</v>
      </c>
      <c r="L90" s="462">
        <v>19251</v>
      </c>
      <c r="M90" s="462">
        <f t="shared" si="1"/>
        <v>19251</v>
      </c>
    </row>
    <row r="91" spans="1:13" x14ac:dyDescent="0.2">
      <c r="A91" s="179" t="s">
        <v>119</v>
      </c>
      <c r="B91" s="460">
        <f>pohjatiedot!AO86</f>
        <v>37105</v>
      </c>
      <c r="C91" s="507">
        <v>37105</v>
      </c>
      <c r="D91" s="454">
        <v>36805</v>
      </c>
      <c r="E91" s="454">
        <v>36988</v>
      </c>
      <c r="F91" s="454">
        <v>37170</v>
      </c>
      <c r="G91" s="454">
        <v>37343</v>
      </c>
      <c r="H91" s="461">
        <v>37511</v>
      </c>
      <c r="I91" s="462">
        <v>37675</v>
      </c>
      <c r="J91" s="462">
        <v>37826</v>
      </c>
      <c r="K91" s="462">
        <v>37969</v>
      </c>
      <c r="L91" s="462">
        <v>38102</v>
      </c>
      <c r="M91" s="462">
        <f t="shared" si="1"/>
        <v>38102</v>
      </c>
    </row>
    <row r="92" spans="1:13" x14ac:dyDescent="0.2">
      <c r="A92" s="179" t="s">
        <v>120</v>
      </c>
      <c r="B92" s="460">
        <f>pohjatiedot!AO87</f>
        <v>9486</v>
      </c>
      <c r="C92" s="507">
        <v>9486</v>
      </c>
      <c r="D92" s="454">
        <v>9418</v>
      </c>
      <c r="E92" s="454">
        <v>9320</v>
      </c>
      <c r="F92" s="454">
        <v>9224</v>
      </c>
      <c r="G92" s="454">
        <v>9135</v>
      </c>
      <c r="H92" s="461">
        <v>9046</v>
      </c>
      <c r="I92" s="462">
        <v>8961</v>
      </c>
      <c r="J92" s="462">
        <v>8878</v>
      </c>
      <c r="K92" s="462">
        <v>8794</v>
      </c>
      <c r="L92" s="462">
        <v>8711</v>
      </c>
      <c r="M92" s="462">
        <f t="shared" si="1"/>
        <v>8711</v>
      </c>
    </row>
    <row r="93" spans="1:13" x14ac:dyDescent="0.2">
      <c r="A93" s="179" t="s">
        <v>121</v>
      </c>
      <c r="B93" s="460">
        <f>pohjatiedot!AO88</f>
        <v>1822</v>
      </c>
      <c r="C93" s="507">
        <v>1822</v>
      </c>
      <c r="D93" s="454">
        <v>1802</v>
      </c>
      <c r="E93" s="454">
        <v>1766</v>
      </c>
      <c r="F93" s="454">
        <v>1735</v>
      </c>
      <c r="G93" s="454">
        <v>1705</v>
      </c>
      <c r="H93" s="461">
        <v>1678</v>
      </c>
      <c r="I93" s="462">
        <v>1652</v>
      </c>
      <c r="J93" s="462">
        <v>1627</v>
      </c>
      <c r="K93" s="462">
        <v>1603</v>
      </c>
      <c r="L93" s="462">
        <v>1578</v>
      </c>
      <c r="M93" s="462">
        <f t="shared" si="1"/>
        <v>1578</v>
      </c>
    </row>
    <row r="94" spans="1:13" x14ac:dyDescent="0.2">
      <c r="A94" s="179" t="s">
        <v>122</v>
      </c>
      <c r="B94" s="460">
        <f>pohjatiedot!AO89</f>
        <v>1597</v>
      </c>
      <c r="C94" s="507">
        <v>1597</v>
      </c>
      <c r="D94" s="454">
        <v>1535</v>
      </c>
      <c r="E94" s="454">
        <v>1510</v>
      </c>
      <c r="F94" s="454">
        <v>1486</v>
      </c>
      <c r="G94" s="454">
        <v>1464</v>
      </c>
      <c r="H94" s="461">
        <v>1441</v>
      </c>
      <c r="I94" s="462">
        <v>1419</v>
      </c>
      <c r="J94" s="462">
        <v>1399</v>
      </c>
      <c r="K94" s="462">
        <v>1379</v>
      </c>
      <c r="L94" s="462">
        <v>1360</v>
      </c>
      <c r="M94" s="462">
        <f t="shared" si="1"/>
        <v>1360</v>
      </c>
    </row>
    <row r="95" spans="1:13" x14ac:dyDescent="0.2">
      <c r="A95" s="179" t="s">
        <v>123</v>
      </c>
      <c r="B95" s="460">
        <f>pohjatiedot!AO90</f>
        <v>40082</v>
      </c>
      <c r="C95" s="507">
        <v>40082</v>
      </c>
      <c r="D95" s="454">
        <v>39701</v>
      </c>
      <c r="E95" s="454">
        <v>39836</v>
      </c>
      <c r="F95" s="454">
        <v>39961</v>
      </c>
      <c r="G95" s="454">
        <v>40085</v>
      </c>
      <c r="H95" s="461">
        <v>40205</v>
      </c>
      <c r="I95" s="462">
        <v>40319</v>
      </c>
      <c r="J95" s="462">
        <v>40425</v>
      </c>
      <c r="K95" s="462">
        <v>40530</v>
      </c>
      <c r="L95" s="462">
        <v>40636</v>
      </c>
      <c r="M95" s="462">
        <f t="shared" si="1"/>
        <v>40636</v>
      </c>
    </row>
    <row r="96" spans="1:13" x14ac:dyDescent="0.2">
      <c r="A96" s="179" t="s">
        <v>124</v>
      </c>
      <c r="B96" s="460">
        <f>pohjatiedot!AO91</f>
        <v>9933</v>
      </c>
      <c r="C96" s="507">
        <v>9933</v>
      </c>
      <c r="D96" s="454">
        <v>9850</v>
      </c>
      <c r="E96" s="454">
        <v>9692</v>
      </c>
      <c r="F96" s="454">
        <v>9542</v>
      </c>
      <c r="G96" s="454">
        <v>9400</v>
      </c>
      <c r="H96" s="461">
        <v>9265</v>
      </c>
      <c r="I96" s="462">
        <v>9130</v>
      </c>
      <c r="J96" s="462">
        <v>9000</v>
      </c>
      <c r="K96" s="462">
        <v>8879</v>
      </c>
      <c r="L96" s="462">
        <v>8761</v>
      </c>
      <c r="M96" s="462">
        <f t="shared" si="1"/>
        <v>8761</v>
      </c>
    </row>
    <row r="97" spans="1:13" x14ac:dyDescent="0.2">
      <c r="A97" s="179" t="s">
        <v>125</v>
      </c>
      <c r="B97" s="460">
        <f>pohjatiedot!AO92</f>
        <v>6436</v>
      </c>
      <c r="C97" s="507">
        <v>6436</v>
      </c>
      <c r="D97" s="454">
        <v>6378</v>
      </c>
      <c r="E97" s="454">
        <v>6366</v>
      </c>
      <c r="F97" s="454">
        <v>6354</v>
      </c>
      <c r="G97" s="454">
        <v>6342</v>
      </c>
      <c r="H97" s="461">
        <v>6329</v>
      </c>
      <c r="I97" s="462">
        <v>6319</v>
      </c>
      <c r="J97" s="462">
        <v>6310</v>
      </c>
      <c r="K97" s="462">
        <v>6301</v>
      </c>
      <c r="L97" s="462">
        <v>6288</v>
      </c>
      <c r="M97" s="462">
        <f t="shared" si="1"/>
        <v>6288</v>
      </c>
    </row>
    <row r="98" spans="1:13" x14ac:dyDescent="0.2">
      <c r="A98" s="179" t="s">
        <v>126</v>
      </c>
      <c r="B98" s="460">
        <f>pohjatiedot!AO93</f>
        <v>7854</v>
      </c>
      <c r="C98" s="507">
        <v>7854</v>
      </c>
      <c r="D98" s="454">
        <v>7714</v>
      </c>
      <c r="E98" s="454">
        <v>7581</v>
      </c>
      <c r="F98" s="454">
        <v>7454</v>
      </c>
      <c r="G98" s="454">
        <v>7331</v>
      </c>
      <c r="H98" s="461">
        <v>7210</v>
      </c>
      <c r="I98" s="462">
        <v>7094</v>
      </c>
      <c r="J98" s="462">
        <v>6983</v>
      </c>
      <c r="K98" s="462">
        <v>6875</v>
      </c>
      <c r="L98" s="462">
        <v>6772</v>
      </c>
      <c r="M98" s="462">
        <f t="shared" si="1"/>
        <v>6772</v>
      </c>
    </row>
    <row r="99" spans="1:13" x14ac:dyDescent="0.2">
      <c r="A99" s="179" t="s">
        <v>127</v>
      </c>
      <c r="B99" s="460">
        <f>pohjatiedot!AO94</f>
        <v>1107</v>
      </c>
      <c r="C99" s="507">
        <v>1107</v>
      </c>
      <c r="D99" s="454">
        <v>1003</v>
      </c>
      <c r="E99" s="454">
        <v>977</v>
      </c>
      <c r="F99" s="454">
        <v>951</v>
      </c>
      <c r="G99" s="454">
        <v>925</v>
      </c>
      <c r="H99" s="461">
        <v>901</v>
      </c>
      <c r="I99" s="462">
        <v>880</v>
      </c>
      <c r="J99" s="462">
        <v>861</v>
      </c>
      <c r="K99" s="462">
        <v>841</v>
      </c>
      <c r="L99" s="462">
        <v>824</v>
      </c>
      <c r="M99" s="462">
        <f t="shared" si="1"/>
        <v>824</v>
      </c>
    </row>
    <row r="100" spans="1:13" x14ac:dyDescent="0.2">
      <c r="A100" s="179" t="s">
        <v>128</v>
      </c>
      <c r="B100" s="460">
        <f>pohjatiedot!AO95</f>
        <v>7013</v>
      </c>
      <c r="C100" s="507">
        <v>7013</v>
      </c>
      <c r="D100" s="454">
        <v>6930</v>
      </c>
      <c r="E100" s="454">
        <v>6843</v>
      </c>
      <c r="F100" s="454">
        <v>6761</v>
      </c>
      <c r="G100" s="454">
        <v>6681</v>
      </c>
      <c r="H100" s="461">
        <v>6603</v>
      </c>
      <c r="I100" s="462">
        <v>6530</v>
      </c>
      <c r="J100" s="462">
        <v>6459</v>
      </c>
      <c r="K100" s="462">
        <v>6391</v>
      </c>
      <c r="L100" s="462">
        <v>6328</v>
      </c>
      <c r="M100" s="462">
        <f t="shared" si="1"/>
        <v>6328</v>
      </c>
    </row>
    <row r="101" spans="1:13" x14ac:dyDescent="0.2">
      <c r="A101" s="179" t="s">
        <v>129</v>
      </c>
      <c r="B101" s="460">
        <f>pohjatiedot!AO96</f>
        <v>47772</v>
      </c>
      <c r="C101" s="507">
        <v>47772</v>
      </c>
      <c r="D101" s="454">
        <v>47752</v>
      </c>
      <c r="E101" s="454">
        <v>47763</v>
      </c>
      <c r="F101" s="454">
        <v>47767</v>
      </c>
      <c r="G101" s="454">
        <v>47764</v>
      </c>
      <c r="H101" s="461">
        <v>47746</v>
      </c>
      <c r="I101" s="462">
        <v>47715</v>
      </c>
      <c r="J101" s="462">
        <v>47671</v>
      </c>
      <c r="K101" s="462">
        <v>47618</v>
      </c>
      <c r="L101" s="462">
        <v>47551</v>
      </c>
      <c r="M101" s="462">
        <f t="shared" si="1"/>
        <v>47551</v>
      </c>
    </row>
    <row r="102" spans="1:13" ht="10.5" x14ac:dyDescent="0.25">
      <c r="A102" s="200" t="s">
        <v>437</v>
      </c>
      <c r="B102" s="460">
        <f>pohjatiedot!AO97</f>
        <v>5503664</v>
      </c>
      <c r="C102" s="202">
        <v>5503664</v>
      </c>
      <c r="D102" s="458">
        <v>5506386</v>
      </c>
      <c r="E102" s="457">
        <v>5511772</v>
      </c>
      <c r="F102" s="457">
        <v>5516715</v>
      </c>
      <c r="G102" s="457">
        <v>5521162</v>
      </c>
      <c r="H102" s="461">
        <v>5525035</v>
      </c>
      <c r="I102" s="462">
        <v>5528282</v>
      </c>
      <c r="J102" s="462">
        <v>5530869</v>
      </c>
      <c r="K102" s="462">
        <v>5532706</v>
      </c>
      <c r="L102" s="462">
        <v>5533828</v>
      </c>
      <c r="M102" s="462">
        <f t="shared" si="1"/>
        <v>5533828</v>
      </c>
    </row>
    <row r="103" spans="1:13" x14ac:dyDescent="0.2">
      <c r="A103" s="179" t="s">
        <v>130</v>
      </c>
      <c r="B103" s="460">
        <f>pohjatiedot!AO98</f>
        <v>3925</v>
      </c>
      <c r="C103" s="507">
        <v>3925</v>
      </c>
      <c r="D103" s="454">
        <v>3776</v>
      </c>
      <c r="E103" s="454">
        <v>3761</v>
      </c>
      <c r="F103" s="454">
        <v>3747</v>
      </c>
      <c r="G103" s="454">
        <v>3733</v>
      </c>
      <c r="H103" s="461">
        <v>3717</v>
      </c>
      <c r="I103" s="462">
        <v>3699</v>
      </c>
      <c r="J103" s="462">
        <v>3682</v>
      </c>
      <c r="K103" s="462">
        <v>3664</v>
      </c>
      <c r="L103" s="462">
        <v>3648</v>
      </c>
      <c r="M103" s="462">
        <f t="shared" si="1"/>
        <v>3648</v>
      </c>
    </row>
    <row r="104" spans="1:13" x14ac:dyDescent="0.2">
      <c r="A104" s="179" t="s">
        <v>131</v>
      </c>
      <c r="B104" s="460">
        <f>pohjatiedot!AO99</f>
        <v>2593</v>
      </c>
      <c r="C104" s="507">
        <v>2593</v>
      </c>
      <c r="D104" s="454">
        <v>2605</v>
      </c>
      <c r="E104" s="454">
        <v>2575</v>
      </c>
      <c r="F104" s="454">
        <v>2546</v>
      </c>
      <c r="G104" s="454">
        <v>2518</v>
      </c>
      <c r="H104" s="461">
        <v>2490</v>
      </c>
      <c r="I104" s="462">
        <v>2462</v>
      </c>
      <c r="J104" s="462">
        <v>2436</v>
      </c>
      <c r="K104" s="462">
        <v>2410</v>
      </c>
      <c r="L104" s="462">
        <v>2384</v>
      </c>
      <c r="M104" s="462">
        <f t="shared" si="1"/>
        <v>2384</v>
      </c>
    </row>
    <row r="105" spans="1:13" x14ac:dyDescent="0.2">
      <c r="A105" s="179" t="s">
        <v>132</v>
      </c>
      <c r="B105" s="460">
        <f>pohjatiedot!AO100</f>
        <v>14857</v>
      </c>
      <c r="C105" s="507">
        <v>14857</v>
      </c>
      <c r="D105" s="454">
        <v>15020</v>
      </c>
      <c r="E105" s="454">
        <v>15051</v>
      </c>
      <c r="F105" s="454">
        <v>15072</v>
      </c>
      <c r="G105" s="454">
        <v>15085</v>
      </c>
      <c r="H105" s="461">
        <v>15088</v>
      </c>
      <c r="I105" s="462">
        <v>15081</v>
      </c>
      <c r="J105" s="462">
        <v>15063</v>
      </c>
      <c r="K105" s="462">
        <v>15043</v>
      </c>
      <c r="L105" s="462">
        <v>15013</v>
      </c>
      <c r="M105" s="462">
        <f t="shared" si="1"/>
        <v>15013</v>
      </c>
    </row>
    <row r="106" spans="1:13" x14ac:dyDescent="0.2">
      <c r="A106" s="179" t="s">
        <v>133</v>
      </c>
      <c r="B106" s="460">
        <f>pohjatiedot!AO101</f>
        <v>2068</v>
      </c>
      <c r="C106" s="507">
        <v>2068</v>
      </c>
      <c r="D106" s="454">
        <v>2069</v>
      </c>
      <c r="E106" s="454">
        <v>2058</v>
      </c>
      <c r="F106" s="454">
        <v>2049</v>
      </c>
      <c r="G106" s="454">
        <v>2040</v>
      </c>
      <c r="H106" s="461">
        <v>2032</v>
      </c>
      <c r="I106" s="462">
        <v>2022</v>
      </c>
      <c r="J106" s="462">
        <v>2014</v>
      </c>
      <c r="K106" s="462">
        <v>2004</v>
      </c>
      <c r="L106" s="462">
        <v>1992</v>
      </c>
      <c r="M106" s="462">
        <f t="shared" si="1"/>
        <v>1992</v>
      </c>
    </row>
    <row r="107" spans="1:13" x14ac:dyDescent="0.2">
      <c r="A107" s="179" t="s">
        <v>320</v>
      </c>
      <c r="B107" s="460">
        <f>pohjatiedot!AO102</f>
        <v>2292</v>
      </c>
      <c r="C107" s="507">
        <v>2292</v>
      </c>
      <c r="D107" s="454">
        <v>2277</v>
      </c>
      <c r="E107" s="454">
        <v>2258</v>
      </c>
      <c r="F107" s="454">
        <v>2242</v>
      </c>
      <c r="G107" s="454">
        <v>2226</v>
      </c>
      <c r="H107" s="461">
        <v>2212</v>
      </c>
      <c r="I107" s="462">
        <v>2197</v>
      </c>
      <c r="J107" s="462">
        <v>2182</v>
      </c>
      <c r="K107" s="462">
        <v>2167</v>
      </c>
      <c r="L107" s="462">
        <v>2154</v>
      </c>
      <c r="M107" s="462">
        <f t="shared" si="1"/>
        <v>2154</v>
      </c>
    </row>
    <row r="108" spans="1:13" x14ac:dyDescent="0.2">
      <c r="A108" s="179" t="s">
        <v>135</v>
      </c>
      <c r="B108" s="460">
        <f>pohjatiedot!AO103</f>
        <v>51668</v>
      </c>
      <c r="C108" s="507">
        <v>51668</v>
      </c>
      <c r="D108" s="454">
        <v>51584</v>
      </c>
      <c r="E108" s="454">
        <v>51186</v>
      </c>
      <c r="F108" s="454">
        <v>50798</v>
      </c>
      <c r="G108" s="454">
        <v>50423</v>
      </c>
      <c r="H108" s="461">
        <v>50059</v>
      </c>
      <c r="I108" s="462">
        <v>49706</v>
      </c>
      <c r="J108" s="462">
        <v>49360</v>
      </c>
      <c r="K108" s="462">
        <v>49016</v>
      </c>
      <c r="L108" s="462">
        <v>48677</v>
      </c>
      <c r="M108" s="462">
        <f t="shared" si="1"/>
        <v>48677</v>
      </c>
    </row>
    <row r="109" spans="1:13" x14ac:dyDescent="0.2">
      <c r="A109" s="179" t="s">
        <v>136</v>
      </c>
      <c r="B109" s="460">
        <f>pohjatiedot!AO104</f>
        <v>81187</v>
      </c>
      <c r="C109" s="507">
        <v>81187</v>
      </c>
      <c r="D109" s="454">
        <v>80732</v>
      </c>
      <c r="E109" s="454">
        <v>79965</v>
      </c>
      <c r="F109" s="454">
        <v>79213</v>
      </c>
      <c r="G109" s="454">
        <v>78476</v>
      </c>
      <c r="H109" s="461">
        <v>77752</v>
      </c>
      <c r="I109" s="462">
        <v>77036</v>
      </c>
      <c r="J109" s="462">
        <v>76340</v>
      </c>
      <c r="K109" s="462">
        <v>75661</v>
      </c>
      <c r="L109" s="462">
        <v>74991</v>
      </c>
      <c r="M109" s="462">
        <f t="shared" si="1"/>
        <v>74991</v>
      </c>
    </row>
    <row r="110" spans="1:13" x14ac:dyDescent="0.2">
      <c r="A110" s="179" t="s">
        <v>321</v>
      </c>
      <c r="B110" s="460">
        <f>pohjatiedot!AO105</f>
        <v>6404</v>
      </c>
      <c r="C110" s="507">
        <v>6404</v>
      </c>
      <c r="D110" s="454">
        <v>6354</v>
      </c>
      <c r="E110" s="454">
        <v>6294</v>
      </c>
      <c r="F110" s="454">
        <v>6239</v>
      </c>
      <c r="G110" s="454">
        <v>6189</v>
      </c>
      <c r="H110" s="461">
        <v>6141</v>
      </c>
      <c r="I110" s="462">
        <v>6096</v>
      </c>
      <c r="J110" s="462">
        <v>6051</v>
      </c>
      <c r="K110" s="462">
        <v>6006</v>
      </c>
      <c r="L110" s="462">
        <v>5960</v>
      </c>
      <c r="M110" s="462">
        <f t="shared" si="1"/>
        <v>5960</v>
      </c>
    </row>
    <row r="111" spans="1:13" x14ac:dyDescent="0.2">
      <c r="A111" s="179" t="s">
        <v>137</v>
      </c>
      <c r="B111" s="460">
        <f>pohjatiedot!AO106</f>
        <v>6416</v>
      </c>
      <c r="C111" s="507">
        <v>6416</v>
      </c>
      <c r="D111" s="454">
        <v>6390</v>
      </c>
      <c r="E111" s="454">
        <v>6353</v>
      </c>
      <c r="F111" s="454">
        <v>6319</v>
      </c>
      <c r="G111" s="454">
        <v>6284</v>
      </c>
      <c r="H111" s="461">
        <v>6249</v>
      </c>
      <c r="I111" s="462">
        <v>6215</v>
      </c>
      <c r="J111" s="462">
        <v>6180</v>
      </c>
      <c r="K111" s="462">
        <v>6145</v>
      </c>
      <c r="L111" s="462">
        <v>6110</v>
      </c>
      <c r="M111" s="462">
        <f t="shared" si="1"/>
        <v>6110</v>
      </c>
    </row>
    <row r="112" spans="1:13" x14ac:dyDescent="0.2">
      <c r="A112" s="179" t="s">
        <v>138</v>
      </c>
      <c r="B112" s="460">
        <f>pohjatiedot!AO107</f>
        <v>8042</v>
      </c>
      <c r="C112" s="507">
        <v>8042</v>
      </c>
      <c r="D112" s="454">
        <v>7885</v>
      </c>
      <c r="E112" s="454">
        <v>7745</v>
      </c>
      <c r="F112" s="454">
        <v>7605</v>
      </c>
      <c r="G112" s="454">
        <v>7470</v>
      </c>
      <c r="H112" s="461">
        <v>7337</v>
      </c>
      <c r="I112" s="462">
        <v>7205</v>
      </c>
      <c r="J112" s="462">
        <v>7077</v>
      </c>
      <c r="K112" s="462">
        <v>6952</v>
      </c>
      <c r="L112" s="462">
        <v>6832</v>
      </c>
      <c r="M112" s="462">
        <f t="shared" si="1"/>
        <v>6832</v>
      </c>
    </row>
    <row r="113" spans="1:13" x14ac:dyDescent="0.2">
      <c r="A113" s="179" t="s">
        <v>139</v>
      </c>
      <c r="B113" s="460">
        <f>pohjatiedot!AO108</f>
        <v>2161</v>
      </c>
      <c r="C113" s="507">
        <v>2161</v>
      </c>
      <c r="D113" s="454">
        <v>2137</v>
      </c>
      <c r="E113" s="454">
        <v>2106</v>
      </c>
      <c r="F113" s="454">
        <v>2079</v>
      </c>
      <c r="G113" s="454">
        <v>2052</v>
      </c>
      <c r="H113" s="461">
        <v>2026</v>
      </c>
      <c r="I113" s="462">
        <v>2001</v>
      </c>
      <c r="J113" s="462">
        <v>1978</v>
      </c>
      <c r="K113" s="462">
        <v>1955</v>
      </c>
      <c r="L113" s="462">
        <v>1934</v>
      </c>
      <c r="M113" s="462">
        <f t="shared" si="1"/>
        <v>1934</v>
      </c>
    </row>
    <row r="114" spans="1:13" s="357" customFormat="1" x14ac:dyDescent="0.2">
      <c r="A114" s="352" t="s">
        <v>140</v>
      </c>
      <c r="B114" s="460">
        <f>pohjatiedot!AO109</f>
        <v>120210</v>
      </c>
      <c r="C114" s="460">
        <v>120210</v>
      </c>
      <c r="D114" s="456">
        <v>119862</v>
      </c>
      <c r="E114" s="456">
        <v>120199</v>
      </c>
      <c r="F114" s="456">
        <v>120514</v>
      </c>
      <c r="G114" s="456">
        <v>120809</v>
      </c>
      <c r="H114" s="461">
        <v>121078</v>
      </c>
      <c r="I114" s="462">
        <v>121330</v>
      </c>
      <c r="J114" s="462">
        <v>121561</v>
      </c>
      <c r="K114" s="462">
        <v>121767</v>
      </c>
      <c r="L114" s="462">
        <v>121944</v>
      </c>
      <c r="M114" s="462">
        <f t="shared" si="1"/>
        <v>121944</v>
      </c>
    </row>
    <row r="115" spans="1:13" x14ac:dyDescent="0.2">
      <c r="A115" s="179" t="s">
        <v>141</v>
      </c>
      <c r="B115" s="460">
        <f>pohjatiedot!AO110</f>
        <v>3534</v>
      </c>
      <c r="C115" s="507">
        <v>3534</v>
      </c>
      <c r="D115" s="454">
        <v>3432</v>
      </c>
      <c r="E115" s="454">
        <v>3386</v>
      </c>
      <c r="F115" s="454">
        <v>3342</v>
      </c>
      <c r="G115" s="454">
        <v>3299</v>
      </c>
      <c r="H115" s="461">
        <v>3259</v>
      </c>
      <c r="I115" s="462">
        <v>3217</v>
      </c>
      <c r="J115" s="462">
        <v>3178</v>
      </c>
      <c r="K115" s="462">
        <v>3139</v>
      </c>
      <c r="L115" s="462">
        <v>3102</v>
      </c>
      <c r="M115" s="462">
        <f t="shared" si="1"/>
        <v>3102</v>
      </c>
    </row>
    <row r="116" spans="1:13" x14ac:dyDescent="0.2">
      <c r="A116" s="179" t="s">
        <v>142</v>
      </c>
      <c r="B116" s="460">
        <f>pohjatiedot!AO111</f>
        <v>20456</v>
      </c>
      <c r="C116" s="507">
        <v>20456</v>
      </c>
      <c r="D116" s="454">
        <v>20125</v>
      </c>
      <c r="E116" s="454">
        <v>19863</v>
      </c>
      <c r="F116" s="454">
        <v>19611</v>
      </c>
      <c r="G116" s="454">
        <v>19362</v>
      </c>
      <c r="H116" s="454">
        <v>19118</v>
      </c>
      <c r="I116" s="454">
        <v>18880</v>
      </c>
      <c r="J116" s="454">
        <v>18646</v>
      </c>
      <c r="K116" s="462">
        <v>18416</v>
      </c>
      <c r="L116" s="462">
        <v>18187</v>
      </c>
      <c r="M116" s="462">
        <f t="shared" si="1"/>
        <v>18187</v>
      </c>
    </row>
    <row r="117" spans="1:13" x14ac:dyDescent="0.2">
      <c r="A117" s="179" t="s">
        <v>143</v>
      </c>
      <c r="B117" s="460">
        <f>pohjatiedot!AO112</f>
        <v>962</v>
      </c>
      <c r="C117" s="507">
        <v>962</v>
      </c>
      <c r="D117" s="454">
        <v>956</v>
      </c>
      <c r="E117" s="454">
        <v>967</v>
      </c>
      <c r="F117" s="454">
        <v>977</v>
      </c>
      <c r="G117" s="454">
        <v>989</v>
      </c>
      <c r="H117" s="461">
        <v>997</v>
      </c>
      <c r="I117" s="462">
        <v>1008</v>
      </c>
      <c r="J117" s="462">
        <v>1017</v>
      </c>
      <c r="K117" s="462">
        <v>1026</v>
      </c>
      <c r="L117" s="462">
        <v>1035</v>
      </c>
      <c r="M117" s="462">
        <f t="shared" si="1"/>
        <v>1035</v>
      </c>
    </row>
    <row r="118" spans="1:13" x14ac:dyDescent="0.2">
      <c r="A118" s="179" t="s">
        <v>144</v>
      </c>
      <c r="B118" s="460">
        <f>pohjatiedot!AO113</f>
        <v>15213</v>
      </c>
      <c r="C118" s="507">
        <v>15213</v>
      </c>
      <c r="D118" s="454">
        <v>14675</v>
      </c>
      <c r="E118" s="454">
        <v>14514</v>
      </c>
      <c r="F118" s="454">
        <v>14357</v>
      </c>
      <c r="G118" s="454">
        <v>14197</v>
      </c>
      <c r="H118" s="461">
        <v>14043</v>
      </c>
      <c r="I118" s="462">
        <v>13893</v>
      </c>
      <c r="J118" s="462">
        <v>13739</v>
      </c>
      <c r="K118" s="462">
        <v>13588</v>
      </c>
      <c r="L118" s="462">
        <v>13437</v>
      </c>
      <c r="M118" s="462">
        <f t="shared" si="1"/>
        <v>13437</v>
      </c>
    </row>
    <row r="119" spans="1:13" x14ac:dyDescent="0.2">
      <c r="A119" s="179" t="s">
        <v>145</v>
      </c>
      <c r="B119" s="460">
        <f>pohjatiedot!AO114</f>
        <v>1288</v>
      </c>
      <c r="C119" s="507">
        <v>1288</v>
      </c>
      <c r="D119" s="454">
        <v>1284</v>
      </c>
      <c r="E119" s="454">
        <v>1265</v>
      </c>
      <c r="F119" s="454">
        <v>1247</v>
      </c>
      <c r="G119" s="454">
        <v>1230</v>
      </c>
      <c r="H119" s="461">
        <v>1213</v>
      </c>
      <c r="I119" s="462">
        <v>1196</v>
      </c>
      <c r="J119" s="462">
        <v>1181</v>
      </c>
      <c r="K119" s="462">
        <v>1164</v>
      </c>
      <c r="L119" s="462">
        <v>1148</v>
      </c>
      <c r="M119" s="462">
        <f t="shared" si="1"/>
        <v>1148</v>
      </c>
    </row>
    <row r="120" spans="1:13" x14ac:dyDescent="0.2">
      <c r="A120" s="179" t="s">
        <v>146</v>
      </c>
      <c r="B120" s="460">
        <f>pohjatiedot!AO115</f>
        <v>4326</v>
      </c>
      <c r="C120" s="507">
        <v>4326</v>
      </c>
      <c r="D120" s="454">
        <v>4284</v>
      </c>
      <c r="E120" s="454">
        <v>4237</v>
      </c>
      <c r="F120" s="454">
        <v>4194</v>
      </c>
      <c r="G120" s="454">
        <v>4154</v>
      </c>
      <c r="H120" s="461">
        <v>4115</v>
      </c>
      <c r="I120" s="462">
        <v>4075</v>
      </c>
      <c r="J120" s="462">
        <v>4037</v>
      </c>
      <c r="K120" s="462">
        <v>4001</v>
      </c>
      <c r="L120" s="462">
        <v>3968</v>
      </c>
      <c r="M120" s="462">
        <f t="shared" si="1"/>
        <v>3968</v>
      </c>
    </row>
    <row r="121" spans="1:13" x14ac:dyDescent="0.2">
      <c r="A121" s="179" t="s">
        <v>147</v>
      </c>
      <c r="B121" s="460">
        <f>pohjatiedot!AO116</f>
        <v>2538</v>
      </c>
      <c r="C121" s="507">
        <v>2538</v>
      </c>
      <c r="D121" s="454">
        <v>2531</v>
      </c>
      <c r="E121" s="454">
        <v>2502</v>
      </c>
      <c r="F121" s="454">
        <v>2476</v>
      </c>
      <c r="G121" s="454">
        <v>2450</v>
      </c>
      <c r="H121" s="461">
        <v>2428</v>
      </c>
      <c r="I121" s="462">
        <v>2405</v>
      </c>
      <c r="J121" s="462">
        <v>2382</v>
      </c>
      <c r="K121" s="462">
        <v>2360</v>
      </c>
      <c r="L121" s="462">
        <v>2336</v>
      </c>
      <c r="M121" s="462">
        <f t="shared" si="1"/>
        <v>2336</v>
      </c>
    </row>
    <row r="122" spans="1:13" x14ac:dyDescent="0.2">
      <c r="A122" s="179" t="s">
        <v>148</v>
      </c>
      <c r="B122" s="460">
        <f>pohjatiedot!AO117</f>
        <v>119984</v>
      </c>
      <c r="C122" s="507">
        <v>119984</v>
      </c>
      <c r="D122" s="454">
        <v>120373</v>
      </c>
      <c r="E122" s="454">
        <v>120477</v>
      </c>
      <c r="F122" s="454">
        <v>120564</v>
      </c>
      <c r="G122" s="454">
        <v>120628</v>
      </c>
      <c r="H122" s="454">
        <v>120665</v>
      </c>
      <c r="I122" s="454">
        <v>120668</v>
      </c>
      <c r="J122" s="454">
        <v>120637</v>
      </c>
      <c r="K122" s="462">
        <v>120575</v>
      </c>
      <c r="L122" s="462">
        <v>120486</v>
      </c>
      <c r="M122" s="462">
        <f t="shared" si="1"/>
        <v>120486</v>
      </c>
    </row>
    <row r="123" spans="1:13" x14ac:dyDescent="0.2">
      <c r="A123" s="179" t="s">
        <v>149</v>
      </c>
      <c r="B123" s="460">
        <f>pohjatiedot!AO118</f>
        <v>7996</v>
      </c>
      <c r="C123" s="507">
        <v>7996</v>
      </c>
      <c r="D123" s="454">
        <v>8092</v>
      </c>
      <c r="E123" s="454">
        <v>8086</v>
      </c>
      <c r="F123" s="454">
        <v>8079</v>
      </c>
      <c r="G123" s="454">
        <v>8065</v>
      </c>
      <c r="H123" s="461">
        <v>8049</v>
      </c>
      <c r="I123" s="462">
        <v>8029</v>
      </c>
      <c r="J123" s="462">
        <v>8007</v>
      </c>
      <c r="K123" s="462">
        <v>7978</v>
      </c>
      <c r="L123" s="462">
        <v>7946</v>
      </c>
      <c r="M123" s="462">
        <f t="shared" si="1"/>
        <v>7946</v>
      </c>
    </row>
    <row r="124" spans="1:13" x14ac:dyDescent="0.2">
      <c r="A124" s="179" t="s">
        <v>150</v>
      </c>
      <c r="B124" s="460">
        <f>pohjatiedot!AO119</f>
        <v>8468</v>
      </c>
      <c r="C124" s="507">
        <v>8468</v>
      </c>
      <c r="D124" s="454">
        <v>8668</v>
      </c>
      <c r="E124" s="454">
        <v>8675</v>
      </c>
      <c r="F124" s="454">
        <v>8678</v>
      </c>
      <c r="G124" s="454">
        <v>8682</v>
      </c>
      <c r="H124" s="461">
        <v>8685</v>
      </c>
      <c r="I124" s="462">
        <v>8687</v>
      </c>
      <c r="J124" s="462">
        <v>8688</v>
      </c>
      <c r="K124" s="462">
        <v>8687</v>
      </c>
      <c r="L124" s="462">
        <v>8687</v>
      </c>
      <c r="M124" s="462">
        <f t="shared" si="1"/>
        <v>8687</v>
      </c>
    </row>
    <row r="125" spans="1:13" x14ac:dyDescent="0.2">
      <c r="A125" s="179" t="s">
        <v>151</v>
      </c>
      <c r="B125" s="460">
        <f>pohjatiedot!AO120</f>
        <v>2621</v>
      </c>
      <c r="C125" s="507">
        <v>2621</v>
      </c>
      <c r="D125" s="454">
        <v>2579</v>
      </c>
      <c r="E125" s="454">
        <v>2556</v>
      </c>
      <c r="F125" s="454">
        <v>2534</v>
      </c>
      <c r="G125" s="454">
        <v>2512</v>
      </c>
      <c r="H125" s="461">
        <v>2493</v>
      </c>
      <c r="I125" s="462">
        <v>2474</v>
      </c>
      <c r="J125" s="462">
        <v>2453</v>
      </c>
      <c r="K125" s="462">
        <v>2436</v>
      </c>
      <c r="L125" s="462">
        <v>2417</v>
      </c>
      <c r="M125" s="462">
        <f t="shared" si="1"/>
        <v>2417</v>
      </c>
    </row>
    <row r="126" spans="1:13" s="357" customFormat="1" x14ac:dyDescent="0.2">
      <c r="A126" s="352" t="s">
        <v>152</v>
      </c>
      <c r="B126" s="460">
        <f>pohjatiedot!AO121</f>
        <v>9358</v>
      </c>
      <c r="C126" s="460">
        <v>9358</v>
      </c>
      <c r="D126" s="456">
        <v>9300</v>
      </c>
      <c r="E126" s="456">
        <v>9200</v>
      </c>
      <c r="F126" s="456">
        <v>9098</v>
      </c>
      <c r="G126" s="456">
        <v>8998</v>
      </c>
      <c r="H126" s="461">
        <v>8897</v>
      </c>
      <c r="I126" s="462">
        <v>8799</v>
      </c>
      <c r="J126" s="462">
        <v>8702</v>
      </c>
      <c r="K126" s="462">
        <v>8605</v>
      </c>
      <c r="L126" s="462">
        <v>8510</v>
      </c>
      <c r="M126" s="462">
        <f t="shared" si="1"/>
        <v>8510</v>
      </c>
    </row>
    <row r="127" spans="1:13" x14ac:dyDescent="0.2">
      <c r="A127" s="179" t="s">
        <v>153</v>
      </c>
      <c r="B127" s="460">
        <f>pohjatiedot!AO122</f>
        <v>2925</v>
      </c>
      <c r="C127" s="507">
        <v>2925</v>
      </c>
      <c r="D127" s="454">
        <v>2921</v>
      </c>
      <c r="E127" s="454">
        <v>2880</v>
      </c>
      <c r="F127" s="454">
        <v>2837</v>
      </c>
      <c r="G127" s="454">
        <v>2799</v>
      </c>
      <c r="H127" s="461">
        <v>2761</v>
      </c>
      <c r="I127" s="462">
        <v>2725</v>
      </c>
      <c r="J127" s="462">
        <v>2687</v>
      </c>
      <c r="K127" s="462">
        <v>2652</v>
      </c>
      <c r="L127" s="462">
        <v>2619</v>
      </c>
      <c r="M127" s="462">
        <f t="shared" si="1"/>
        <v>2619</v>
      </c>
    </row>
    <row r="128" spans="1:13" s="357" customFormat="1" x14ac:dyDescent="0.2">
      <c r="A128" s="352" t="s">
        <v>154</v>
      </c>
      <c r="B128" s="460">
        <f>pohjatiedot!AO123</f>
        <v>72662</v>
      </c>
      <c r="C128" s="460">
        <v>72662</v>
      </c>
      <c r="D128" s="456">
        <v>72333</v>
      </c>
      <c r="E128" s="456">
        <v>72197</v>
      </c>
      <c r="F128" s="456">
        <v>72073</v>
      </c>
      <c r="G128" s="456">
        <v>71946</v>
      </c>
      <c r="H128" s="461">
        <v>71818</v>
      </c>
      <c r="I128" s="462">
        <v>71679</v>
      </c>
      <c r="J128" s="462">
        <v>71536</v>
      </c>
      <c r="K128" s="462">
        <v>71387</v>
      </c>
      <c r="L128" s="462">
        <v>71231</v>
      </c>
      <c r="M128" s="462">
        <f t="shared" si="1"/>
        <v>71231</v>
      </c>
    </row>
    <row r="129" spans="1:13" x14ac:dyDescent="0.2">
      <c r="A129" s="179" t="s">
        <v>155</v>
      </c>
      <c r="B129" s="460">
        <f>pohjatiedot!AO124</f>
        <v>14221</v>
      </c>
      <c r="C129" s="507">
        <v>14221</v>
      </c>
      <c r="D129" s="454">
        <v>14230</v>
      </c>
      <c r="E129" s="454">
        <v>14163</v>
      </c>
      <c r="F129" s="454">
        <v>14092</v>
      </c>
      <c r="G129" s="454">
        <v>14022</v>
      </c>
      <c r="H129" s="461">
        <v>13955</v>
      </c>
      <c r="I129" s="462">
        <v>13892</v>
      </c>
      <c r="J129" s="462">
        <v>13826</v>
      </c>
      <c r="K129" s="462">
        <v>13762</v>
      </c>
      <c r="L129" s="462">
        <v>13696</v>
      </c>
      <c r="M129" s="462">
        <f t="shared" si="1"/>
        <v>13696</v>
      </c>
    </row>
    <row r="130" spans="1:13" x14ac:dyDescent="0.2">
      <c r="A130" s="179" t="s">
        <v>156</v>
      </c>
      <c r="B130" s="460">
        <f>pohjatiedot!AO125</f>
        <v>18823</v>
      </c>
      <c r="C130" s="507">
        <v>18823</v>
      </c>
      <c r="D130" s="454">
        <v>18991</v>
      </c>
      <c r="E130" s="454">
        <v>18983</v>
      </c>
      <c r="F130" s="454">
        <v>18959</v>
      </c>
      <c r="G130" s="454">
        <v>18925</v>
      </c>
      <c r="H130" s="461">
        <v>18880</v>
      </c>
      <c r="I130" s="462">
        <v>18827</v>
      </c>
      <c r="J130" s="462">
        <v>18768</v>
      </c>
      <c r="K130" s="462">
        <v>18704</v>
      </c>
      <c r="L130" s="462">
        <v>18631</v>
      </c>
      <c r="M130" s="462">
        <f t="shared" si="1"/>
        <v>18631</v>
      </c>
    </row>
    <row r="131" spans="1:13" x14ac:dyDescent="0.2">
      <c r="A131" s="179" t="s">
        <v>157</v>
      </c>
      <c r="B131" s="460">
        <f>pohjatiedot!AO126</f>
        <v>2964</v>
      </c>
      <c r="C131" s="507">
        <v>2964</v>
      </c>
      <c r="D131" s="454">
        <v>2991</v>
      </c>
      <c r="E131" s="454">
        <v>2971</v>
      </c>
      <c r="F131" s="454">
        <v>2951</v>
      </c>
      <c r="G131" s="454">
        <v>2929</v>
      </c>
      <c r="H131" s="461">
        <v>2911</v>
      </c>
      <c r="I131" s="462">
        <v>2889</v>
      </c>
      <c r="J131" s="462">
        <v>2866</v>
      </c>
      <c r="K131" s="462">
        <v>2840</v>
      </c>
      <c r="L131" s="462">
        <v>2814</v>
      </c>
      <c r="M131" s="462">
        <f t="shared" si="1"/>
        <v>2814</v>
      </c>
    </row>
    <row r="132" spans="1:13" x14ac:dyDescent="0.2">
      <c r="A132" s="179" t="s">
        <v>158</v>
      </c>
      <c r="B132" s="460">
        <f>pohjatiedot!AO127</f>
        <v>23828</v>
      </c>
      <c r="C132" s="507">
        <v>23828</v>
      </c>
      <c r="D132" s="454">
        <v>23745</v>
      </c>
      <c r="E132" s="454">
        <v>23906</v>
      </c>
      <c r="F132" s="454">
        <v>24057</v>
      </c>
      <c r="G132" s="454">
        <v>24185</v>
      </c>
      <c r="H132" s="461">
        <v>24296</v>
      </c>
      <c r="I132" s="462">
        <v>24393</v>
      </c>
      <c r="J132" s="462">
        <v>24473</v>
      </c>
      <c r="K132" s="462">
        <v>24544</v>
      </c>
      <c r="L132" s="462">
        <v>24601</v>
      </c>
      <c r="M132" s="462">
        <f t="shared" si="1"/>
        <v>24601</v>
      </c>
    </row>
    <row r="133" spans="1:13" x14ac:dyDescent="0.2">
      <c r="A133" s="179" t="s">
        <v>159</v>
      </c>
      <c r="B133" s="460">
        <f>pohjatiedot!AO128</f>
        <v>9402</v>
      </c>
      <c r="C133" s="507">
        <v>9402</v>
      </c>
      <c r="D133" s="454">
        <v>9345</v>
      </c>
      <c r="E133" s="454">
        <v>9249</v>
      </c>
      <c r="F133" s="454">
        <v>9156</v>
      </c>
      <c r="G133" s="454">
        <v>9066</v>
      </c>
      <c r="H133" s="461">
        <v>8972</v>
      </c>
      <c r="I133" s="462">
        <v>8881</v>
      </c>
      <c r="J133" s="462">
        <v>8791</v>
      </c>
      <c r="K133" s="462">
        <v>8699</v>
      </c>
      <c r="L133" s="462">
        <v>8610</v>
      </c>
      <c r="M133" s="462">
        <f t="shared" si="1"/>
        <v>8610</v>
      </c>
    </row>
    <row r="134" spans="1:13" x14ac:dyDescent="0.2">
      <c r="A134" s="179" t="s">
        <v>160</v>
      </c>
      <c r="B134" s="460">
        <f>pohjatiedot!AO129</f>
        <v>722</v>
      </c>
      <c r="C134" s="507">
        <v>722</v>
      </c>
      <c r="D134" s="454">
        <v>686</v>
      </c>
      <c r="E134" s="454">
        <v>673</v>
      </c>
      <c r="F134" s="454">
        <v>661</v>
      </c>
      <c r="G134" s="454">
        <v>651</v>
      </c>
      <c r="H134" s="461">
        <v>641</v>
      </c>
      <c r="I134" s="462">
        <v>632</v>
      </c>
      <c r="J134" s="462">
        <v>624</v>
      </c>
      <c r="K134" s="462">
        <v>616</v>
      </c>
      <c r="L134" s="462">
        <v>609</v>
      </c>
      <c r="M134" s="462">
        <f t="shared" si="1"/>
        <v>609</v>
      </c>
    </row>
    <row r="135" spans="1:13" x14ac:dyDescent="0.2">
      <c r="A135" s="179" t="s">
        <v>161</v>
      </c>
      <c r="B135" s="460">
        <f>pohjatiedot!AO130</f>
        <v>10719</v>
      </c>
      <c r="C135" s="507">
        <v>10719</v>
      </c>
      <c r="D135" s="454">
        <v>10426</v>
      </c>
      <c r="E135" s="454">
        <v>10231</v>
      </c>
      <c r="F135" s="454">
        <v>10045</v>
      </c>
      <c r="G135" s="454">
        <v>9865</v>
      </c>
      <c r="H135" s="461">
        <v>9695</v>
      </c>
      <c r="I135" s="462">
        <v>9528</v>
      </c>
      <c r="J135" s="462">
        <v>9369</v>
      </c>
      <c r="K135" s="462">
        <v>9212</v>
      </c>
      <c r="L135" s="462">
        <v>9064</v>
      </c>
      <c r="M135" s="462">
        <f t="shared" si="1"/>
        <v>9064</v>
      </c>
    </row>
    <row r="136" spans="1:13" x14ac:dyDescent="0.2">
      <c r="A136" s="179" t="s">
        <v>162</v>
      </c>
      <c r="B136" s="460">
        <f>pohjatiedot!AO131</f>
        <v>20146</v>
      </c>
      <c r="C136" s="507">
        <v>20146</v>
      </c>
      <c r="D136" s="454">
        <v>20094</v>
      </c>
      <c r="E136" s="454">
        <v>20174</v>
      </c>
      <c r="F136" s="454">
        <v>20246</v>
      </c>
      <c r="G136" s="454">
        <v>20312</v>
      </c>
      <c r="H136" s="461">
        <v>20373</v>
      </c>
      <c r="I136" s="462">
        <v>20429</v>
      </c>
      <c r="J136" s="462">
        <v>20478</v>
      </c>
      <c r="K136" s="462">
        <v>20514</v>
      </c>
      <c r="L136" s="462">
        <v>20543</v>
      </c>
      <c r="M136" s="462">
        <f t="shared" si="1"/>
        <v>20543</v>
      </c>
    </row>
    <row r="137" spans="1:13" x14ac:dyDescent="0.2">
      <c r="A137" s="179" t="s">
        <v>163</v>
      </c>
      <c r="B137" s="460">
        <f>pohjatiedot!AO132</f>
        <v>10238</v>
      </c>
      <c r="C137" s="507">
        <v>10238</v>
      </c>
      <c r="D137" s="454">
        <v>10455</v>
      </c>
      <c r="E137" s="454">
        <v>10505</v>
      </c>
      <c r="F137" s="454">
        <v>10539</v>
      </c>
      <c r="G137" s="454">
        <v>10559</v>
      </c>
      <c r="H137" s="461">
        <v>10568</v>
      </c>
      <c r="I137" s="462">
        <v>10573</v>
      </c>
      <c r="J137" s="462">
        <v>10573</v>
      </c>
      <c r="K137" s="462">
        <v>10565</v>
      </c>
      <c r="L137" s="462">
        <v>10553</v>
      </c>
      <c r="M137" s="462">
        <f t="shared" ref="M137:M200" si="2">L137</f>
        <v>10553</v>
      </c>
    </row>
    <row r="138" spans="1:13" x14ac:dyDescent="0.2">
      <c r="A138" s="179" t="s">
        <v>164</v>
      </c>
      <c r="B138" s="460">
        <f>pohjatiedot!AO133</f>
        <v>11994</v>
      </c>
      <c r="C138" s="507">
        <v>11994</v>
      </c>
      <c r="D138" s="454">
        <v>11959</v>
      </c>
      <c r="E138" s="454">
        <v>11900</v>
      </c>
      <c r="F138" s="454">
        <v>11839</v>
      </c>
      <c r="G138" s="454">
        <v>11777</v>
      </c>
      <c r="H138" s="461">
        <v>11714</v>
      </c>
      <c r="I138" s="462">
        <v>11650</v>
      </c>
      <c r="J138" s="462">
        <v>11580</v>
      </c>
      <c r="K138" s="462">
        <v>11507</v>
      </c>
      <c r="L138" s="462">
        <v>11430</v>
      </c>
      <c r="M138" s="462">
        <f t="shared" si="2"/>
        <v>11430</v>
      </c>
    </row>
    <row r="139" spans="1:13" x14ac:dyDescent="0.2">
      <c r="A139" s="179" t="s">
        <v>165</v>
      </c>
      <c r="B139" s="460">
        <f>pohjatiedot!AO134</f>
        <v>45886</v>
      </c>
      <c r="C139" s="507">
        <v>45886</v>
      </c>
      <c r="D139" s="454">
        <v>45289</v>
      </c>
      <c r="E139" s="454">
        <v>44975</v>
      </c>
      <c r="F139" s="454">
        <v>44670</v>
      </c>
      <c r="G139" s="454">
        <v>44372</v>
      </c>
      <c r="H139" s="461">
        <v>44082</v>
      </c>
      <c r="I139" s="462">
        <v>43797</v>
      </c>
      <c r="J139" s="462">
        <v>43526</v>
      </c>
      <c r="K139" s="462">
        <v>43263</v>
      </c>
      <c r="L139" s="462">
        <v>43007</v>
      </c>
      <c r="M139" s="462">
        <f t="shared" si="2"/>
        <v>43007</v>
      </c>
    </row>
    <row r="140" spans="1:13" x14ac:dyDescent="0.2">
      <c r="A140" s="179" t="s">
        <v>166</v>
      </c>
      <c r="B140" s="460">
        <f>pohjatiedot!AO135</f>
        <v>15770</v>
      </c>
      <c r="C140" s="507">
        <v>15770</v>
      </c>
      <c r="D140" s="454">
        <v>15584</v>
      </c>
      <c r="E140" s="454">
        <v>15455</v>
      </c>
      <c r="F140" s="454">
        <v>15334</v>
      </c>
      <c r="G140" s="454">
        <v>15215</v>
      </c>
      <c r="H140" s="461">
        <v>15107</v>
      </c>
      <c r="I140" s="462">
        <v>14997</v>
      </c>
      <c r="J140" s="462">
        <v>14893</v>
      </c>
      <c r="K140" s="462">
        <v>14792</v>
      </c>
      <c r="L140" s="462">
        <v>14691</v>
      </c>
      <c r="M140" s="462">
        <f t="shared" si="2"/>
        <v>14691</v>
      </c>
    </row>
    <row r="141" spans="1:13" x14ac:dyDescent="0.2">
      <c r="A141" s="179" t="s">
        <v>167</v>
      </c>
      <c r="B141" s="460">
        <f>pohjatiedot!AO136</f>
        <v>7853</v>
      </c>
      <c r="C141" s="507">
        <v>7853</v>
      </c>
      <c r="D141" s="454">
        <v>7632</v>
      </c>
      <c r="E141" s="454">
        <v>7550</v>
      </c>
      <c r="F141" s="454">
        <v>7465</v>
      </c>
      <c r="G141" s="454">
        <v>7386</v>
      </c>
      <c r="H141" s="461">
        <v>7309</v>
      </c>
      <c r="I141" s="462">
        <v>7234</v>
      </c>
      <c r="J141" s="462">
        <v>7161</v>
      </c>
      <c r="K141" s="462">
        <v>7092</v>
      </c>
      <c r="L141" s="462">
        <v>7026</v>
      </c>
      <c r="M141" s="462">
        <f t="shared" si="2"/>
        <v>7026</v>
      </c>
    </row>
    <row r="142" spans="1:13" s="357" customFormat="1" x14ac:dyDescent="0.2">
      <c r="A142" s="352" t="s">
        <v>168</v>
      </c>
      <c r="B142" s="460">
        <f>pohjatiedot!AO137</f>
        <v>14745</v>
      </c>
      <c r="C142" s="460">
        <v>14745</v>
      </c>
      <c r="D142" s="456">
        <v>14453</v>
      </c>
      <c r="E142" s="456">
        <v>14323</v>
      </c>
      <c r="F142" s="456">
        <v>14200</v>
      </c>
      <c r="G142" s="456">
        <v>14081</v>
      </c>
      <c r="H142" s="461">
        <v>13965</v>
      </c>
      <c r="I142" s="462">
        <v>13852</v>
      </c>
      <c r="J142" s="462">
        <v>13748</v>
      </c>
      <c r="K142" s="462">
        <v>13647</v>
      </c>
      <c r="L142" s="462">
        <v>13552</v>
      </c>
      <c r="M142" s="462">
        <f t="shared" si="2"/>
        <v>13552</v>
      </c>
    </row>
    <row r="143" spans="1:13" x14ac:dyDescent="0.2">
      <c r="A143" s="179" t="s">
        <v>169</v>
      </c>
      <c r="B143" s="460">
        <f>pohjatiedot!AO138</f>
        <v>699</v>
      </c>
      <c r="C143" s="507">
        <v>699</v>
      </c>
      <c r="D143" s="454">
        <v>690</v>
      </c>
      <c r="E143" s="454">
        <v>687</v>
      </c>
      <c r="F143" s="454">
        <v>684</v>
      </c>
      <c r="G143" s="454">
        <v>681</v>
      </c>
      <c r="H143" s="461">
        <v>678</v>
      </c>
      <c r="I143" s="462">
        <v>676</v>
      </c>
      <c r="J143" s="462">
        <v>674</v>
      </c>
      <c r="K143" s="462">
        <v>670</v>
      </c>
      <c r="L143" s="462">
        <v>668</v>
      </c>
      <c r="M143" s="462">
        <f t="shared" si="2"/>
        <v>668</v>
      </c>
    </row>
    <row r="144" spans="1:13" x14ac:dyDescent="0.2">
      <c r="A144" s="179" t="s">
        <v>170</v>
      </c>
      <c r="B144" s="460">
        <f>pohjatiedot!AO139</f>
        <v>2036</v>
      </c>
      <c r="C144" s="507">
        <v>2036</v>
      </c>
      <c r="D144" s="454">
        <v>2020</v>
      </c>
      <c r="E144" s="454">
        <v>2004</v>
      </c>
      <c r="F144" s="454">
        <v>1985</v>
      </c>
      <c r="G144" s="454">
        <v>1966</v>
      </c>
      <c r="H144" s="461">
        <v>1944</v>
      </c>
      <c r="I144" s="462">
        <v>1924</v>
      </c>
      <c r="J144" s="462">
        <v>1902</v>
      </c>
      <c r="K144" s="462">
        <v>1882</v>
      </c>
      <c r="L144" s="462">
        <v>1861</v>
      </c>
      <c r="M144" s="462">
        <f t="shared" si="2"/>
        <v>1861</v>
      </c>
    </row>
    <row r="145" spans="1:13" x14ac:dyDescent="0.2">
      <c r="A145" s="179" t="s">
        <v>171</v>
      </c>
      <c r="B145" s="460">
        <f>pohjatiedot!AO140</f>
        <v>5534</v>
      </c>
      <c r="C145" s="507">
        <v>5534</v>
      </c>
      <c r="D145" s="454">
        <v>5500</v>
      </c>
      <c r="E145" s="454">
        <v>5552</v>
      </c>
      <c r="F145" s="454">
        <v>5599</v>
      </c>
      <c r="G145" s="454">
        <v>5644</v>
      </c>
      <c r="H145" s="461">
        <v>5685</v>
      </c>
      <c r="I145" s="462">
        <v>5725</v>
      </c>
      <c r="J145" s="462">
        <v>5763</v>
      </c>
      <c r="K145" s="462">
        <v>5800</v>
      </c>
      <c r="L145" s="462">
        <v>5835</v>
      </c>
      <c r="M145" s="462">
        <f t="shared" si="2"/>
        <v>5835</v>
      </c>
    </row>
    <row r="146" spans="1:13" x14ac:dyDescent="0.2">
      <c r="A146" s="179" t="s">
        <v>172</v>
      </c>
      <c r="B146" s="460">
        <f>pohjatiedot!AO141</f>
        <v>4543</v>
      </c>
      <c r="C146" s="507">
        <v>4543</v>
      </c>
      <c r="D146" s="454">
        <v>4467</v>
      </c>
      <c r="E146" s="454">
        <v>4404</v>
      </c>
      <c r="F146" s="454">
        <v>4343</v>
      </c>
      <c r="G146" s="454">
        <v>4286</v>
      </c>
      <c r="H146" s="461">
        <v>4229</v>
      </c>
      <c r="I146" s="462">
        <v>4174</v>
      </c>
      <c r="J146" s="462">
        <v>4120</v>
      </c>
      <c r="K146" s="462">
        <v>4065</v>
      </c>
      <c r="L146" s="462">
        <v>4016</v>
      </c>
      <c r="M146" s="462">
        <f t="shared" si="2"/>
        <v>4016</v>
      </c>
    </row>
    <row r="147" spans="1:13" x14ac:dyDescent="0.2">
      <c r="A147" s="179" t="s">
        <v>173</v>
      </c>
      <c r="B147" s="460">
        <f>pohjatiedot!AO142</f>
        <v>5451</v>
      </c>
      <c r="C147" s="507">
        <v>5451</v>
      </c>
      <c r="D147" s="454">
        <v>5407</v>
      </c>
      <c r="E147" s="454">
        <v>5390</v>
      </c>
      <c r="F147" s="454">
        <v>5374</v>
      </c>
      <c r="G147" s="454">
        <v>5358</v>
      </c>
      <c r="H147" s="461">
        <v>5340</v>
      </c>
      <c r="I147" s="462">
        <v>5323</v>
      </c>
      <c r="J147" s="462">
        <v>5302</v>
      </c>
      <c r="K147" s="462">
        <v>5278</v>
      </c>
      <c r="L147" s="462">
        <v>5250</v>
      </c>
      <c r="M147" s="462">
        <f t="shared" si="2"/>
        <v>5250</v>
      </c>
    </row>
    <row r="148" spans="1:13" x14ac:dyDescent="0.2">
      <c r="A148" s="179" t="s">
        <v>174</v>
      </c>
      <c r="B148" s="460">
        <f>pohjatiedot!AO143</f>
        <v>1999</v>
      </c>
      <c r="C148" s="507">
        <v>1999</v>
      </c>
      <c r="D148" s="454">
        <v>2003</v>
      </c>
      <c r="E148" s="454">
        <v>2000</v>
      </c>
      <c r="F148" s="454">
        <v>1996</v>
      </c>
      <c r="G148" s="454">
        <v>1994</v>
      </c>
      <c r="H148" s="461">
        <v>1991</v>
      </c>
      <c r="I148" s="462">
        <v>1986</v>
      </c>
      <c r="J148" s="462">
        <v>1979</v>
      </c>
      <c r="K148" s="462">
        <v>1973</v>
      </c>
      <c r="L148" s="462">
        <v>1964</v>
      </c>
      <c r="M148" s="462">
        <f t="shared" si="2"/>
        <v>1964</v>
      </c>
    </row>
    <row r="149" spans="1:13" x14ac:dyDescent="0.2">
      <c r="A149" s="179" t="s">
        <v>175</v>
      </c>
      <c r="B149" s="460">
        <f>pohjatiedot!AO144</f>
        <v>9543</v>
      </c>
      <c r="C149" s="507">
        <v>9543</v>
      </c>
      <c r="D149" s="454">
        <v>9411</v>
      </c>
      <c r="E149" s="454">
        <v>9360</v>
      </c>
      <c r="F149" s="454">
        <v>9307</v>
      </c>
      <c r="G149" s="454">
        <v>9253</v>
      </c>
      <c r="H149" s="461">
        <v>9197</v>
      </c>
      <c r="I149" s="462">
        <v>9142</v>
      </c>
      <c r="J149" s="462">
        <v>9092</v>
      </c>
      <c r="K149" s="462">
        <v>9043</v>
      </c>
      <c r="L149" s="462">
        <v>8993</v>
      </c>
      <c r="M149" s="462">
        <f t="shared" si="2"/>
        <v>8993</v>
      </c>
    </row>
    <row r="150" spans="1:13" x14ac:dyDescent="0.2">
      <c r="A150" s="179" t="s">
        <v>176</v>
      </c>
      <c r="B150" s="460">
        <f>pohjatiedot!AO145</f>
        <v>1078</v>
      </c>
      <c r="C150" s="507">
        <v>1078</v>
      </c>
      <c r="D150" s="454">
        <v>1048</v>
      </c>
      <c r="E150" s="454">
        <v>1034</v>
      </c>
      <c r="F150" s="454">
        <v>1021</v>
      </c>
      <c r="G150" s="454">
        <v>1006</v>
      </c>
      <c r="H150" s="461">
        <v>994</v>
      </c>
      <c r="I150" s="462">
        <v>981</v>
      </c>
      <c r="J150" s="462">
        <v>969</v>
      </c>
      <c r="K150" s="462">
        <v>958</v>
      </c>
      <c r="L150" s="462">
        <v>947</v>
      </c>
      <c r="M150" s="462">
        <f t="shared" si="2"/>
        <v>947</v>
      </c>
    </row>
    <row r="151" spans="1:13" x14ac:dyDescent="0.2">
      <c r="A151" s="179" t="s">
        <v>177</v>
      </c>
      <c r="B151" s="460">
        <f>pohjatiedot!AO146</f>
        <v>3066</v>
      </c>
      <c r="C151" s="507">
        <v>3066</v>
      </c>
      <c r="D151" s="454">
        <v>3039</v>
      </c>
      <c r="E151" s="454">
        <v>3013</v>
      </c>
      <c r="F151" s="454">
        <v>2987</v>
      </c>
      <c r="G151" s="454">
        <v>2960</v>
      </c>
      <c r="H151" s="461">
        <v>2934</v>
      </c>
      <c r="I151" s="462">
        <v>2912</v>
      </c>
      <c r="J151" s="462">
        <v>2890</v>
      </c>
      <c r="K151" s="462">
        <v>2866</v>
      </c>
      <c r="L151" s="462">
        <v>2846</v>
      </c>
      <c r="M151" s="462">
        <f t="shared" si="2"/>
        <v>2846</v>
      </c>
    </row>
    <row r="152" spans="1:13" x14ac:dyDescent="0.2">
      <c r="A152" s="179" t="s">
        <v>178</v>
      </c>
      <c r="B152" s="460">
        <f>pohjatiedot!AO147</f>
        <v>1868</v>
      </c>
      <c r="C152" s="507">
        <v>1868</v>
      </c>
      <c r="D152" s="454">
        <v>1834</v>
      </c>
      <c r="E152" s="454">
        <v>1804</v>
      </c>
      <c r="F152" s="454">
        <v>1775</v>
      </c>
      <c r="G152" s="454">
        <v>1748</v>
      </c>
      <c r="H152" s="461">
        <v>1723</v>
      </c>
      <c r="I152" s="462">
        <v>1699</v>
      </c>
      <c r="J152" s="462">
        <v>1676</v>
      </c>
      <c r="K152" s="462">
        <v>1654</v>
      </c>
      <c r="L152" s="462">
        <v>1633</v>
      </c>
      <c r="M152" s="462">
        <f t="shared" si="2"/>
        <v>1633</v>
      </c>
    </row>
    <row r="153" spans="1:13" x14ac:dyDescent="0.2">
      <c r="A153" s="179" t="s">
        <v>179</v>
      </c>
      <c r="B153" s="460">
        <f>pohjatiedot!AO148</f>
        <v>52583</v>
      </c>
      <c r="C153" s="507">
        <v>52583</v>
      </c>
      <c r="D153" s="454">
        <v>53069</v>
      </c>
      <c r="E153" s="454">
        <v>52820</v>
      </c>
      <c r="F153" s="454">
        <v>52568</v>
      </c>
      <c r="G153" s="454">
        <v>52314</v>
      </c>
      <c r="H153" s="461">
        <v>52056</v>
      </c>
      <c r="I153" s="462">
        <v>51798</v>
      </c>
      <c r="J153" s="462">
        <v>51537</v>
      </c>
      <c r="K153" s="462">
        <v>51276</v>
      </c>
      <c r="L153" s="462">
        <v>51018</v>
      </c>
      <c r="M153" s="462">
        <f t="shared" si="2"/>
        <v>51018</v>
      </c>
    </row>
    <row r="154" spans="1:13" x14ac:dyDescent="0.2">
      <c r="A154" s="179" t="s">
        <v>180</v>
      </c>
      <c r="B154" s="460">
        <f>pohjatiedot!AO149</f>
        <v>8903</v>
      </c>
      <c r="C154" s="507">
        <v>8903</v>
      </c>
      <c r="D154" s="454">
        <v>8946</v>
      </c>
      <c r="E154" s="454">
        <v>8911</v>
      </c>
      <c r="F154" s="454">
        <v>8870</v>
      </c>
      <c r="G154" s="454">
        <v>8827</v>
      </c>
      <c r="H154" s="461">
        <v>8785</v>
      </c>
      <c r="I154" s="462">
        <v>8739</v>
      </c>
      <c r="J154" s="462">
        <v>8693</v>
      </c>
      <c r="K154" s="462">
        <v>8647</v>
      </c>
      <c r="L154" s="462">
        <v>8599</v>
      </c>
      <c r="M154" s="462">
        <f t="shared" si="2"/>
        <v>8599</v>
      </c>
    </row>
    <row r="155" spans="1:13" x14ac:dyDescent="0.2">
      <c r="A155" s="179" t="s">
        <v>181</v>
      </c>
      <c r="B155" s="460">
        <f>pohjatiedot!AO150</f>
        <v>1558</v>
      </c>
      <c r="C155" s="507">
        <v>1558</v>
      </c>
      <c r="D155" s="454">
        <v>1480</v>
      </c>
      <c r="E155" s="454">
        <v>1451</v>
      </c>
      <c r="F155" s="454">
        <v>1420</v>
      </c>
      <c r="G155" s="454">
        <v>1392</v>
      </c>
      <c r="H155" s="461">
        <v>1365</v>
      </c>
      <c r="I155" s="462">
        <v>1340</v>
      </c>
      <c r="J155" s="462">
        <v>1317</v>
      </c>
      <c r="K155" s="462">
        <v>1295</v>
      </c>
      <c r="L155" s="462">
        <v>1273</v>
      </c>
      <c r="M155" s="462">
        <f t="shared" si="2"/>
        <v>1273</v>
      </c>
    </row>
    <row r="156" spans="1:13" x14ac:dyDescent="0.2">
      <c r="A156" s="179" t="s">
        <v>182</v>
      </c>
      <c r="B156" s="460">
        <f>pohjatiedot!AO151</f>
        <v>2297</v>
      </c>
      <c r="C156" s="507">
        <v>2297</v>
      </c>
      <c r="D156" s="454">
        <v>2241</v>
      </c>
      <c r="E156" s="454">
        <v>2226</v>
      </c>
      <c r="F156" s="454">
        <v>2212</v>
      </c>
      <c r="G156" s="454">
        <v>2198</v>
      </c>
      <c r="H156" s="461">
        <v>2185</v>
      </c>
      <c r="I156" s="462">
        <v>2172</v>
      </c>
      <c r="J156" s="462">
        <v>2159</v>
      </c>
      <c r="K156" s="462">
        <v>2145</v>
      </c>
      <c r="L156" s="462">
        <v>2129</v>
      </c>
      <c r="M156" s="462">
        <f t="shared" si="2"/>
        <v>2129</v>
      </c>
    </row>
    <row r="157" spans="1:13" x14ac:dyDescent="0.2">
      <c r="A157" s="179" t="s">
        <v>183</v>
      </c>
      <c r="B157" s="460">
        <f>pohjatiedot!AO152</f>
        <v>19453</v>
      </c>
      <c r="C157" s="507">
        <v>19453</v>
      </c>
      <c r="D157" s="454">
        <v>19550</v>
      </c>
      <c r="E157" s="454">
        <v>19567</v>
      </c>
      <c r="F157" s="454">
        <v>19574</v>
      </c>
      <c r="G157" s="454">
        <v>19570</v>
      </c>
      <c r="H157" s="461">
        <v>19560</v>
      </c>
      <c r="I157" s="462">
        <v>19542</v>
      </c>
      <c r="J157" s="462">
        <v>19522</v>
      </c>
      <c r="K157" s="462">
        <v>19493</v>
      </c>
      <c r="L157" s="462">
        <v>19456</v>
      </c>
      <c r="M157" s="462">
        <f t="shared" si="2"/>
        <v>19456</v>
      </c>
    </row>
    <row r="158" spans="1:13" x14ac:dyDescent="0.2">
      <c r="A158" s="179" t="s">
        <v>184</v>
      </c>
      <c r="B158" s="460">
        <f>pohjatiedot!AO153</f>
        <v>10267</v>
      </c>
      <c r="C158" s="507">
        <v>10267</v>
      </c>
      <c r="D158" s="454">
        <v>10431</v>
      </c>
      <c r="E158" s="454">
        <v>10492</v>
      </c>
      <c r="F158" s="454">
        <v>10547</v>
      </c>
      <c r="G158" s="454">
        <v>10596</v>
      </c>
      <c r="H158" s="461">
        <v>10635</v>
      </c>
      <c r="I158" s="462">
        <v>10666</v>
      </c>
      <c r="J158" s="462">
        <v>10689</v>
      </c>
      <c r="K158" s="462">
        <v>10709</v>
      </c>
      <c r="L158" s="462">
        <v>10722</v>
      </c>
      <c r="M158" s="462">
        <f t="shared" si="2"/>
        <v>10722</v>
      </c>
    </row>
    <row r="159" spans="1:13" x14ac:dyDescent="0.2">
      <c r="A159" s="179" t="s">
        <v>185</v>
      </c>
      <c r="B159" s="460">
        <f>pohjatiedot!AO154</f>
        <v>7645</v>
      </c>
      <c r="C159" s="507">
        <v>7645</v>
      </c>
      <c r="D159" s="454">
        <v>7618</v>
      </c>
      <c r="E159" s="454">
        <v>7576</v>
      </c>
      <c r="F159" s="454">
        <v>7538</v>
      </c>
      <c r="G159" s="454">
        <v>7501</v>
      </c>
      <c r="H159" s="461">
        <v>7465</v>
      </c>
      <c r="I159" s="462">
        <v>7428</v>
      </c>
      <c r="J159" s="462">
        <v>7395</v>
      </c>
      <c r="K159" s="462">
        <v>7363</v>
      </c>
      <c r="L159" s="462">
        <v>7331</v>
      </c>
      <c r="M159" s="462">
        <f t="shared" si="2"/>
        <v>7331</v>
      </c>
    </row>
    <row r="160" spans="1:13" x14ac:dyDescent="0.2">
      <c r="A160" s="179" t="s">
        <v>186</v>
      </c>
      <c r="B160" s="460">
        <f>pohjatiedot!AO155</f>
        <v>1871</v>
      </c>
      <c r="C160" s="507">
        <v>1871</v>
      </c>
      <c r="D160" s="454">
        <v>1888</v>
      </c>
      <c r="E160" s="454">
        <v>1876</v>
      </c>
      <c r="F160" s="454">
        <v>1865</v>
      </c>
      <c r="G160" s="454">
        <v>1852</v>
      </c>
      <c r="H160" s="461">
        <v>1839</v>
      </c>
      <c r="I160" s="462">
        <v>1828</v>
      </c>
      <c r="J160" s="462">
        <v>1816</v>
      </c>
      <c r="K160" s="462">
        <v>1807</v>
      </c>
      <c r="L160" s="462">
        <v>1798</v>
      </c>
      <c r="M160" s="462">
        <f t="shared" si="2"/>
        <v>1798</v>
      </c>
    </row>
    <row r="161" spans="1:13" x14ac:dyDescent="0.2">
      <c r="A161" s="179" t="s">
        <v>187</v>
      </c>
      <c r="B161" s="460">
        <f>pohjatiedot!AO156</f>
        <v>20783</v>
      </c>
      <c r="C161" s="507">
        <v>20783</v>
      </c>
      <c r="D161" s="454">
        <v>20592</v>
      </c>
      <c r="E161" s="454">
        <v>20572</v>
      </c>
      <c r="F161" s="454">
        <v>20556</v>
      </c>
      <c r="G161" s="454">
        <v>20540</v>
      </c>
      <c r="H161" s="461">
        <v>20524</v>
      </c>
      <c r="I161" s="462">
        <v>20507</v>
      </c>
      <c r="J161" s="462">
        <v>20489</v>
      </c>
      <c r="K161" s="462">
        <v>20470</v>
      </c>
      <c r="L161" s="462">
        <v>20455</v>
      </c>
      <c r="M161" s="462">
        <f t="shared" si="2"/>
        <v>20455</v>
      </c>
    </row>
    <row r="162" spans="1:13" x14ac:dyDescent="0.2">
      <c r="A162" s="179" t="s">
        <v>362</v>
      </c>
      <c r="B162" s="460">
        <f>pohjatiedot!AO157</f>
        <v>9673</v>
      </c>
      <c r="C162" s="507">
        <v>9673</v>
      </c>
      <c r="D162" s="454">
        <v>9462</v>
      </c>
      <c r="E162" s="454">
        <v>9309</v>
      </c>
      <c r="F162" s="454">
        <v>9165</v>
      </c>
      <c r="G162" s="454">
        <v>9025</v>
      </c>
      <c r="H162" s="461">
        <v>8893</v>
      </c>
      <c r="I162" s="462">
        <v>8769</v>
      </c>
      <c r="J162" s="462">
        <v>8649</v>
      </c>
      <c r="K162" s="462">
        <v>8531</v>
      </c>
      <c r="L162" s="462">
        <v>8421</v>
      </c>
      <c r="M162" s="462">
        <f t="shared" si="2"/>
        <v>8421</v>
      </c>
    </row>
    <row r="163" spans="1:13" x14ac:dyDescent="0.2">
      <c r="A163" s="179" t="s">
        <v>188</v>
      </c>
      <c r="B163" s="460">
        <f>pohjatiedot!AO158</f>
        <v>5676</v>
      </c>
      <c r="C163" s="507">
        <v>5676</v>
      </c>
      <c r="D163" s="454">
        <v>5687</v>
      </c>
      <c r="E163" s="454">
        <v>5616</v>
      </c>
      <c r="F163" s="454">
        <v>5550</v>
      </c>
      <c r="G163" s="454">
        <v>5488</v>
      </c>
      <c r="H163" s="461">
        <v>5427</v>
      </c>
      <c r="I163" s="462">
        <v>5369</v>
      </c>
      <c r="J163" s="462">
        <v>5313</v>
      </c>
      <c r="K163" s="462">
        <v>5256</v>
      </c>
      <c r="L163" s="462">
        <v>5203</v>
      </c>
      <c r="M163" s="462">
        <f t="shared" si="2"/>
        <v>5203</v>
      </c>
    </row>
    <row r="164" spans="1:13" x14ac:dyDescent="0.2">
      <c r="A164" s="179" t="s">
        <v>189</v>
      </c>
      <c r="B164" s="460">
        <f>pohjatiedot!AO159</f>
        <v>19427</v>
      </c>
      <c r="C164" s="507">
        <v>19427</v>
      </c>
      <c r="D164" s="454">
        <v>19448</v>
      </c>
      <c r="E164" s="454">
        <v>19510</v>
      </c>
      <c r="F164" s="454">
        <v>19570</v>
      </c>
      <c r="G164" s="454">
        <v>19628</v>
      </c>
      <c r="H164" s="461">
        <v>19680</v>
      </c>
      <c r="I164" s="462">
        <v>19727</v>
      </c>
      <c r="J164" s="462">
        <v>19767</v>
      </c>
      <c r="K164" s="462">
        <v>19805</v>
      </c>
      <c r="L164" s="462">
        <v>19839</v>
      </c>
      <c r="M164" s="462">
        <f t="shared" si="2"/>
        <v>19839</v>
      </c>
    </row>
    <row r="165" spans="1:13" x14ac:dyDescent="0.2">
      <c r="A165" s="179" t="s">
        <v>190</v>
      </c>
      <c r="B165" s="460">
        <f>pohjatiedot!AO160</f>
        <v>5256</v>
      </c>
      <c r="C165" s="507">
        <v>5256</v>
      </c>
      <c r="D165" s="454">
        <v>5282</v>
      </c>
      <c r="E165" s="454">
        <v>5229</v>
      </c>
      <c r="F165" s="454">
        <v>5176</v>
      </c>
      <c r="G165" s="454">
        <v>5124</v>
      </c>
      <c r="H165" s="461">
        <v>5071</v>
      </c>
      <c r="I165" s="462">
        <v>5017</v>
      </c>
      <c r="J165" s="462">
        <v>4968</v>
      </c>
      <c r="K165" s="462">
        <v>4920</v>
      </c>
      <c r="L165" s="462">
        <v>4870</v>
      </c>
      <c r="M165" s="462">
        <f t="shared" si="2"/>
        <v>4870</v>
      </c>
    </row>
    <row r="166" spans="1:13" x14ac:dyDescent="0.2">
      <c r="A166" s="179" t="s">
        <v>191</v>
      </c>
      <c r="B166" s="460">
        <f>pohjatiedot!AO161</f>
        <v>10500</v>
      </c>
      <c r="C166" s="507">
        <v>10500</v>
      </c>
      <c r="D166" s="454">
        <v>10505</v>
      </c>
      <c r="E166" s="454">
        <v>10425</v>
      </c>
      <c r="F166" s="454">
        <v>10346</v>
      </c>
      <c r="G166" s="454">
        <v>10268</v>
      </c>
      <c r="H166" s="461">
        <v>10189</v>
      </c>
      <c r="I166" s="462">
        <v>10109</v>
      </c>
      <c r="J166" s="462">
        <v>10030</v>
      </c>
      <c r="K166" s="462">
        <v>9947</v>
      </c>
      <c r="L166" s="462">
        <v>9865</v>
      </c>
      <c r="M166" s="462">
        <f t="shared" si="2"/>
        <v>9865</v>
      </c>
    </row>
    <row r="167" spans="1:13" x14ac:dyDescent="0.2">
      <c r="A167" s="179" t="s">
        <v>192</v>
      </c>
      <c r="B167" s="460">
        <f>pohjatiedot!AO162</f>
        <v>34476</v>
      </c>
      <c r="C167" s="507">
        <v>34476</v>
      </c>
      <c r="D167" s="454">
        <v>33866</v>
      </c>
      <c r="E167" s="454">
        <v>33959</v>
      </c>
      <c r="F167" s="454">
        <v>34037</v>
      </c>
      <c r="G167" s="454">
        <v>34100</v>
      </c>
      <c r="H167" s="461">
        <v>34148</v>
      </c>
      <c r="I167" s="462">
        <v>34185</v>
      </c>
      <c r="J167" s="462">
        <v>34207</v>
      </c>
      <c r="K167" s="462">
        <v>34218</v>
      </c>
      <c r="L167" s="462">
        <v>34226</v>
      </c>
      <c r="M167" s="462">
        <f t="shared" si="2"/>
        <v>34226</v>
      </c>
    </row>
    <row r="168" spans="1:13" x14ac:dyDescent="0.2">
      <c r="A168" s="179" t="s">
        <v>193</v>
      </c>
      <c r="B168" s="460">
        <f>pohjatiedot!AO163</f>
        <v>4693</v>
      </c>
      <c r="C168" s="507">
        <v>4693</v>
      </c>
      <c r="D168" s="454">
        <v>4628</v>
      </c>
      <c r="E168" s="454">
        <v>4597</v>
      </c>
      <c r="F168" s="454">
        <v>4569</v>
      </c>
      <c r="G168" s="454">
        <v>4539</v>
      </c>
      <c r="H168" s="461">
        <v>4509</v>
      </c>
      <c r="I168" s="462">
        <v>4481</v>
      </c>
      <c r="J168" s="462">
        <v>4452</v>
      </c>
      <c r="K168" s="462">
        <v>4424</v>
      </c>
      <c r="L168" s="462">
        <v>4396</v>
      </c>
      <c r="M168" s="462">
        <f t="shared" si="2"/>
        <v>4396</v>
      </c>
    </row>
    <row r="169" spans="1:13" x14ac:dyDescent="0.2">
      <c r="A169" s="179" t="s">
        <v>194</v>
      </c>
      <c r="B169" s="460">
        <f>pohjatiedot!AO164</f>
        <v>9501</v>
      </c>
      <c r="C169" s="507">
        <v>9501</v>
      </c>
      <c r="D169" s="454">
        <v>9330</v>
      </c>
      <c r="E169" s="454">
        <v>9190</v>
      </c>
      <c r="F169" s="454">
        <v>9053</v>
      </c>
      <c r="G169" s="454">
        <v>8924</v>
      </c>
      <c r="H169" s="461">
        <v>8799</v>
      </c>
      <c r="I169" s="462">
        <v>8681</v>
      </c>
      <c r="J169" s="462">
        <v>8566</v>
      </c>
      <c r="K169" s="462">
        <v>8454</v>
      </c>
      <c r="L169" s="462">
        <v>8348</v>
      </c>
      <c r="M169" s="462">
        <f t="shared" si="2"/>
        <v>8348</v>
      </c>
    </row>
    <row r="170" spans="1:13" x14ac:dyDescent="0.2">
      <c r="A170" s="179" t="s">
        <v>195</v>
      </c>
      <c r="B170" s="460">
        <f>pohjatiedot!AO165</f>
        <v>43663</v>
      </c>
      <c r="C170" s="507">
        <v>43663</v>
      </c>
      <c r="D170" s="454">
        <v>43269</v>
      </c>
      <c r="E170" s="454">
        <v>43447</v>
      </c>
      <c r="F170" s="454">
        <v>43614</v>
      </c>
      <c r="G170" s="454">
        <v>43771</v>
      </c>
      <c r="H170" s="461">
        <v>43917</v>
      </c>
      <c r="I170" s="462">
        <v>44055</v>
      </c>
      <c r="J170" s="462">
        <v>44186</v>
      </c>
      <c r="K170" s="462">
        <v>44305</v>
      </c>
      <c r="L170" s="462">
        <v>44418</v>
      </c>
      <c r="M170" s="462">
        <f t="shared" si="2"/>
        <v>44418</v>
      </c>
    </row>
    <row r="171" spans="1:13" x14ac:dyDescent="0.2">
      <c r="A171" s="179" t="s">
        <v>196</v>
      </c>
      <c r="B171" s="460">
        <f>pohjatiedot!AO166</f>
        <v>9558</v>
      </c>
      <c r="C171" s="507">
        <v>9558</v>
      </c>
      <c r="D171" s="454">
        <v>9491</v>
      </c>
      <c r="E171" s="454">
        <v>9504</v>
      </c>
      <c r="F171" s="454">
        <v>9518</v>
      </c>
      <c r="G171" s="454">
        <v>9535</v>
      </c>
      <c r="H171" s="461">
        <v>9551</v>
      </c>
      <c r="I171" s="462">
        <v>9563</v>
      </c>
      <c r="J171" s="462">
        <v>9575</v>
      </c>
      <c r="K171" s="462">
        <v>9584</v>
      </c>
      <c r="L171" s="462">
        <v>9592</v>
      </c>
      <c r="M171" s="462">
        <f t="shared" si="2"/>
        <v>9592</v>
      </c>
    </row>
    <row r="172" spans="1:13" s="357" customFormat="1" x14ac:dyDescent="0.2">
      <c r="A172" s="352" t="s">
        <v>197</v>
      </c>
      <c r="B172" s="460">
        <f>pohjatiedot!AO167</f>
        <v>15882</v>
      </c>
      <c r="C172" s="460">
        <v>15882</v>
      </c>
      <c r="D172" s="456">
        <v>15867</v>
      </c>
      <c r="E172" s="456">
        <v>15789</v>
      </c>
      <c r="F172" s="456">
        <v>15705</v>
      </c>
      <c r="G172" s="456">
        <v>15618</v>
      </c>
      <c r="H172" s="461">
        <v>15529</v>
      </c>
      <c r="I172" s="462">
        <v>15443</v>
      </c>
      <c r="J172" s="462">
        <v>15356</v>
      </c>
      <c r="K172" s="462">
        <v>15269</v>
      </c>
      <c r="L172" s="462">
        <v>15181</v>
      </c>
      <c r="M172" s="462">
        <f t="shared" si="2"/>
        <v>15181</v>
      </c>
    </row>
    <row r="173" spans="1:13" x14ac:dyDescent="0.2">
      <c r="A173" s="179" t="s">
        <v>198</v>
      </c>
      <c r="B173" s="460">
        <f>pohjatiedot!AO168</f>
        <v>1334</v>
      </c>
      <c r="C173" s="507">
        <v>1334</v>
      </c>
      <c r="D173" s="454">
        <v>1321</v>
      </c>
      <c r="E173" s="454">
        <v>1307</v>
      </c>
      <c r="F173" s="454">
        <v>1295</v>
      </c>
      <c r="G173" s="454">
        <v>1282</v>
      </c>
      <c r="H173" s="461">
        <v>1271</v>
      </c>
      <c r="I173" s="462">
        <v>1260</v>
      </c>
      <c r="J173" s="462">
        <v>1252</v>
      </c>
      <c r="K173" s="462">
        <v>1243</v>
      </c>
      <c r="L173" s="462">
        <v>1234</v>
      </c>
      <c r="M173" s="462">
        <f t="shared" si="2"/>
        <v>1234</v>
      </c>
    </row>
    <row r="174" spans="1:13" x14ac:dyDescent="0.2">
      <c r="A174" s="179" t="s">
        <v>199</v>
      </c>
      <c r="B174" s="460">
        <f>pohjatiedot!AO169</f>
        <v>9008</v>
      </c>
      <c r="C174" s="507">
        <v>9008</v>
      </c>
      <c r="D174" s="454">
        <v>8951</v>
      </c>
      <c r="E174" s="454">
        <v>8878</v>
      </c>
      <c r="F174" s="454">
        <v>8807</v>
      </c>
      <c r="G174" s="454">
        <v>8738</v>
      </c>
      <c r="H174" s="461">
        <v>8669</v>
      </c>
      <c r="I174" s="462">
        <v>8605</v>
      </c>
      <c r="J174" s="462">
        <v>8544</v>
      </c>
      <c r="K174" s="462">
        <v>8487</v>
      </c>
      <c r="L174" s="462">
        <v>8432</v>
      </c>
      <c r="M174" s="462">
        <f t="shared" si="2"/>
        <v>8432</v>
      </c>
    </row>
    <row r="175" spans="1:13" x14ac:dyDescent="0.2">
      <c r="A175" s="179" t="s">
        <v>24</v>
      </c>
      <c r="B175" s="460">
        <f>pohjatiedot!AO170</f>
        <v>7155</v>
      </c>
      <c r="C175" s="507">
        <v>7155</v>
      </c>
      <c r="D175" s="454">
        <v>7185</v>
      </c>
      <c r="E175" s="454">
        <v>7106</v>
      </c>
      <c r="F175" s="454">
        <v>7031</v>
      </c>
      <c r="G175" s="454">
        <v>6956</v>
      </c>
      <c r="H175" s="461">
        <v>6882</v>
      </c>
      <c r="I175" s="462">
        <v>6806</v>
      </c>
      <c r="J175" s="462">
        <v>6733</v>
      </c>
      <c r="K175" s="462">
        <v>6663</v>
      </c>
      <c r="L175" s="462">
        <v>6595</v>
      </c>
      <c r="M175" s="462">
        <f t="shared" si="2"/>
        <v>6595</v>
      </c>
    </row>
    <row r="176" spans="1:13" x14ac:dyDescent="0.2">
      <c r="A176" s="179" t="s">
        <v>200</v>
      </c>
      <c r="B176" s="460">
        <f>pohjatiedot!AO171</f>
        <v>207327</v>
      </c>
      <c r="C176" s="507">
        <v>207327</v>
      </c>
      <c r="D176" s="454">
        <v>208198</v>
      </c>
      <c r="E176" s="454">
        <v>209610</v>
      </c>
      <c r="F176" s="454">
        <v>210946</v>
      </c>
      <c r="G176" s="454">
        <v>212219</v>
      </c>
      <c r="H176" s="461">
        <v>213424</v>
      </c>
      <c r="I176" s="462">
        <v>214562</v>
      </c>
      <c r="J176" s="462">
        <v>215635</v>
      </c>
      <c r="K176" s="462">
        <v>216649</v>
      </c>
      <c r="L176" s="462">
        <v>217591</v>
      </c>
      <c r="M176" s="462">
        <f t="shared" si="2"/>
        <v>217591</v>
      </c>
    </row>
    <row r="177" spans="1:13" x14ac:dyDescent="0.2">
      <c r="A177" s="179" t="s">
        <v>201</v>
      </c>
      <c r="B177" s="460">
        <f>pohjatiedot!AO172</f>
        <v>6552</v>
      </c>
      <c r="C177" s="507">
        <v>6552</v>
      </c>
      <c r="D177" s="454">
        <v>6506</v>
      </c>
      <c r="E177" s="454">
        <v>6415</v>
      </c>
      <c r="F177" s="454">
        <v>6325</v>
      </c>
      <c r="G177" s="454">
        <v>6238</v>
      </c>
      <c r="H177" s="461">
        <v>6153</v>
      </c>
      <c r="I177" s="462">
        <v>6070</v>
      </c>
      <c r="J177" s="462">
        <v>5988</v>
      </c>
      <c r="K177" s="462">
        <v>5907</v>
      </c>
      <c r="L177" s="462">
        <v>5831</v>
      </c>
      <c r="M177" s="462">
        <f t="shared" si="2"/>
        <v>5831</v>
      </c>
    </row>
    <row r="178" spans="1:13" x14ac:dyDescent="0.2">
      <c r="A178" s="179" t="s">
        <v>202</v>
      </c>
      <c r="B178" s="460">
        <f>pohjatiedot!AO173</f>
        <v>2861</v>
      </c>
      <c r="C178" s="507">
        <v>2861</v>
      </c>
      <c r="D178" s="454">
        <v>2788</v>
      </c>
      <c r="E178" s="454">
        <v>2736</v>
      </c>
      <c r="F178" s="454">
        <v>2688</v>
      </c>
      <c r="G178" s="454">
        <v>2641</v>
      </c>
      <c r="H178" s="461">
        <v>2597</v>
      </c>
      <c r="I178" s="462">
        <v>2554</v>
      </c>
      <c r="J178" s="462">
        <v>2514</v>
      </c>
      <c r="K178" s="462">
        <v>2474</v>
      </c>
      <c r="L178" s="462">
        <v>2439</v>
      </c>
      <c r="M178" s="462">
        <f t="shared" si="2"/>
        <v>2439</v>
      </c>
    </row>
    <row r="179" spans="1:13" x14ac:dyDescent="0.2">
      <c r="A179" s="179" t="s">
        <v>203</v>
      </c>
      <c r="B179" s="460">
        <f>pohjatiedot!AO174</f>
        <v>10922</v>
      </c>
      <c r="C179" s="507">
        <v>10922</v>
      </c>
      <c r="D179" s="454">
        <v>10906</v>
      </c>
      <c r="E179" s="454">
        <v>10930</v>
      </c>
      <c r="F179" s="454">
        <v>10950</v>
      </c>
      <c r="G179" s="454">
        <v>10971</v>
      </c>
      <c r="H179" s="461">
        <v>10992</v>
      </c>
      <c r="I179" s="462">
        <v>11009</v>
      </c>
      <c r="J179" s="462">
        <v>11023</v>
      </c>
      <c r="K179" s="462">
        <v>11033</v>
      </c>
      <c r="L179" s="462">
        <v>11037</v>
      </c>
      <c r="M179" s="462">
        <f t="shared" si="2"/>
        <v>11037</v>
      </c>
    </row>
    <row r="180" spans="1:13" x14ac:dyDescent="0.2">
      <c r="A180" s="179" t="s">
        <v>204</v>
      </c>
      <c r="B180" s="460">
        <f>pohjatiedot!AO175</f>
        <v>3235</v>
      </c>
      <c r="C180" s="507">
        <v>3235</v>
      </c>
      <c r="D180" s="454">
        <v>3180</v>
      </c>
      <c r="E180" s="454">
        <v>3133</v>
      </c>
      <c r="F180" s="454">
        <v>3088</v>
      </c>
      <c r="G180" s="454">
        <v>3045</v>
      </c>
      <c r="H180" s="461">
        <v>3003</v>
      </c>
      <c r="I180" s="462">
        <v>2965</v>
      </c>
      <c r="J180" s="462">
        <v>2929</v>
      </c>
      <c r="K180" s="462">
        <v>2894</v>
      </c>
      <c r="L180" s="462">
        <v>2860</v>
      </c>
      <c r="M180" s="462">
        <f t="shared" si="2"/>
        <v>2860</v>
      </c>
    </row>
    <row r="181" spans="1:13" x14ac:dyDescent="0.2">
      <c r="A181" s="352" t="s">
        <v>422</v>
      </c>
      <c r="B181" s="460">
        <f>pohjatiedot!AO176</f>
        <v>15105</v>
      </c>
      <c r="C181" s="507">
        <v>15105</v>
      </c>
      <c r="D181" s="454">
        <v>14960</v>
      </c>
      <c r="E181" s="454">
        <v>14878</v>
      </c>
      <c r="F181" s="454">
        <v>14801</v>
      </c>
      <c r="G181" s="454">
        <v>14725</v>
      </c>
      <c r="H181" s="461">
        <v>14649</v>
      </c>
      <c r="I181" s="462">
        <v>14572</v>
      </c>
      <c r="J181" s="462">
        <v>14498</v>
      </c>
      <c r="K181" s="462">
        <v>14425</v>
      </c>
      <c r="L181" s="462">
        <v>14350</v>
      </c>
      <c r="M181" s="462">
        <f t="shared" si="2"/>
        <v>14350</v>
      </c>
    </row>
    <row r="182" spans="1:13" x14ac:dyDescent="0.2">
      <c r="A182" s="179" t="s">
        <v>205</v>
      </c>
      <c r="B182" s="460">
        <f>pohjatiedot!AO177</f>
        <v>4655</v>
      </c>
      <c r="C182" s="507">
        <v>4655</v>
      </c>
      <c r="D182" s="454">
        <v>4491</v>
      </c>
      <c r="E182" s="454">
        <v>4388</v>
      </c>
      <c r="F182" s="454">
        <v>4289</v>
      </c>
      <c r="G182" s="454">
        <v>4196</v>
      </c>
      <c r="H182" s="461">
        <v>4110</v>
      </c>
      <c r="I182" s="462">
        <v>4025</v>
      </c>
      <c r="J182" s="462">
        <v>3946</v>
      </c>
      <c r="K182" s="462">
        <v>3870</v>
      </c>
      <c r="L182" s="462">
        <v>3796</v>
      </c>
      <c r="M182" s="462">
        <f t="shared" si="2"/>
        <v>3796</v>
      </c>
    </row>
    <row r="183" spans="1:13" x14ac:dyDescent="0.2">
      <c r="A183" s="179" t="s">
        <v>206</v>
      </c>
      <c r="B183" s="460">
        <f>pohjatiedot!AO178</f>
        <v>6352</v>
      </c>
      <c r="C183" s="507">
        <v>6352</v>
      </c>
      <c r="D183" s="454">
        <v>6243</v>
      </c>
      <c r="E183" s="454">
        <v>6176</v>
      </c>
      <c r="F183" s="454">
        <v>6110</v>
      </c>
      <c r="G183" s="454">
        <v>6045</v>
      </c>
      <c r="H183" s="461">
        <v>5980</v>
      </c>
      <c r="I183" s="462">
        <v>5922</v>
      </c>
      <c r="J183" s="462">
        <v>5861</v>
      </c>
      <c r="K183" s="462">
        <v>5803</v>
      </c>
      <c r="L183" s="462">
        <v>5747</v>
      </c>
      <c r="M183" s="462">
        <f t="shared" si="2"/>
        <v>5747</v>
      </c>
    </row>
    <row r="184" spans="1:13" x14ac:dyDescent="0.2">
      <c r="A184" s="352" t="s">
        <v>207</v>
      </c>
      <c r="B184" s="460">
        <f>pohjatiedot!AO179</f>
        <v>11174</v>
      </c>
      <c r="C184" s="507">
        <v>11174</v>
      </c>
      <c r="D184" s="454">
        <v>10978</v>
      </c>
      <c r="E184" s="454">
        <v>10964</v>
      </c>
      <c r="F184" s="454">
        <v>10947</v>
      </c>
      <c r="G184" s="454">
        <v>10927</v>
      </c>
      <c r="H184" s="461">
        <v>10907</v>
      </c>
      <c r="I184" s="462">
        <v>10882</v>
      </c>
      <c r="J184" s="462">
        <v>10854</v>
      </c>
      <c r="K184" s="462">
        <v>10824</v>
      </c>
      <c r="L184" s="462">
        <v>10793</v>
      </c>
      <c r="M184" s="462">
        <f t="shared" si="2"/>
        <v>10793</v>
      </c>
    </row>
    <row r="185" spans="1:13" x14ac:dyDescent="0.2">
      <c r="A185" s="179" t="s">
        <v>208</v>
      </c>
      <c r="B185" s="460">
        <f>pohjatiedot!AO180</f>
        <v>931</v>
      </c>
      <c r="C185" s="507">
        <v>931</v>
      </c>
      <c r="D185" s="454">
        <v>945</v>
      </c>
      <c r="E185" s="454">
        <v>941</v>
      </c>
      <c r="F185" s="454">
        <v>938</v>
      </c>
      <c r="G185" s="454">
        <v>935</v>
      </c>
      <c r="H185" s="461">
        <v>932</v>
      </c>
      <c r="I185" s="462">
        <v>929</v>
      </c>
      <c r="J185" s="462">
        <v>927</v>
      </c>
      <c r="K185" s="462">
        <v>924</v>
      </c>
      <c r="L185" s="462">
        <v>920</v>
      </c>
      <c r="M185" s="462">
        <f t="shared" si="2"/>
        <v>920</v>
      </c>
    </row>
    <row r="186" spans="1:13" x14ac:dyDescent="0.2">
      <c r="A186" s="179" t="s">
        <v>209</v>
      </c>
      <c r="B186" s="460">
        <f>pohjatiedot!AO181</f>
        <v>3304</v>
      </c>
      <c r="C186" s="507">
        <v>3304</v>
      </c>
      <c r="D186" s="454">
        <v>3242</v>
      </c>
      <c r="E186" s="454">
        <v>3186</v>
      </c>
      <c r="F186" s="454">
        <v>3130</v>
      </c>
      <c r="G186" s="454">
        <v>3077</v>
      </c>
      <c r="H186" s="461">
        <v>3028</v>
      </c>
      <c r="I186" s="462">
        <v>2983</v>
      </c>
      <c r="J186" s="462">
        <v>2941</v>
      </c>
      <c r="K186" s="462">
        <v>2898</v>
      </c>
      <c r="L186" s="462">
        <v>2858</v>
      </c>
      <c r="M186" s="462">
        <f t="shared" si="2"/>
        <v>2858</v>
      </c>
    </row>
    <row r="187" spans="1:13" x14ac:dyDescent="0.2">
      <c r="A187" s="179" t="s">
        <v>210</v>
      </c>
      <c r="B187" s="460">
        <f>pohjatiedot!AO182</f>
        <v>2706</v>
      </c>
      <c r="C187" s="507">
        <v>2706</v>
      </c>
      <c r="D187" s="454">
        <v>2757</v>
      </c>
      <c r="E187" s="454">
        <v>2733</v>
      </c>
      <c r="F187" s="454">
        <v>2710</v>
      </c>
      <c r="G187" s="454">
        <v>2683</v>
      </c>
      <c r="H187" s="461">
        <v>2658</v>
      </c>
      <c r="I187" s="462">
        <v>2632</v>
      </c>
      <c r="J187" s="462">
        <v>2606</v>
      </c>
      <c r="K187" s="462">
        <v>2580</v>
      </c>
      <c r="L187" s="462">
        <v>2555</v>
      </c>
      <c r="M187" s="462">
        <f t="shared" si="2"/>
        <v>2555</v>
      </c>
    </row>
    <row r="188" spans="1:13" x14ac:dyDescent="0.2">
      <c r="A188" s="179" t="s">
        <v>211</v>
      </c>
      <c r="B188" s="460">
        <f>pohjatiedot!AO183</f>
        <v>1654</v>
      </c>
      <c r="C188" s="507">
        <v>1654</v>
      </c>
      <c r="D188" s="454">
        <v>1640</v>
      </c>
      <c r="E188" s="454">
        <v>1618</v>
      </c>
      <c r="F188" s="454">
        <v>1596</v>
      </c>
      <c r="G188" s="454">
        <v>1576</v>
      </c>
      <c r="H188" s="461">
        <v>1555</v>
      </c>
      <c r="I188" s="462">
        <v>1536</v>
      </c>
      <c r="J188" s="462">
        <v>1519</v>
      </c>
      <c r="K188" s="462">
        <v>1502</v>
      </c>
      <c r="L188" s="462">
        <v>1487</v>
      </c>
      <c r="M188" s="462">
        <f t="shared" si="2"/>
        <v>1487</v>
      </c>
    </row>
    <row r="189" spans="1:13" x14ac:dyDescent="0.2">
      <c r="A189" s="179" t="s">
        <v>212</v>
      </c>
      <c r="B189" s="460">
        <f>pohjatiedot!AO184</f>
        <v>3772</v>
      </c>
      <c r="C189" s="507">
        <v>3772</v>
      </c>
      <c r="D189" s="454">
        <v>3750</v>
      </c>
      <c r="E189" s="454">
        <v>3704</v>
      </c>
      <c r="F189" s="454">
        <v>3658</v>
      </c>
      <c r="G189" s="454">
        <v>3613</v>
      </c>
      <c r="H189" s="461">
        <v>3570</v>
      </c>
      <c r="I189" s="462">
        <v>3527</v>
      </c>
      <c r="J189" s="462">
        <v>3484</v>
      </c>
      <c r="K189" s="462">
        <v>3440</v>
      </c>
      <c r="L189" s="462">
        <v>3396</v>
      </c>
      <c r="M189" s="462">
        <f t="shared" si="2"/>
        <v>3396</v>
      </c>
    </row>
    <row r="190" spans="1:13" x14ac:dyDescent="0.2">
      <c r="A190" s="179" t="s">
        <v>213</v>
      </c>
      <c r="B190" s="460">
        <f>pohjatiedot!AO185</f>
        <v>17375</v>
      </c>
      <c r="C190" s="507">
        <v>17375</v>
      </c>
      <c r="D190" s="454">
        <v>17152</v>
      </c>
      <c r="E190" s="454">
        <v>16919</v>
      </c>
      <c r="F190" s="454">
        <v>16696</v>
      </c>
      <c r="G190" s="454">
        <v>16479</v>
      </c>
      <c r="H190" s="461">
        <v>16272</v>
      </c>
      <c r="I190" s="462">
        <v>16074</v>
      </c>
      <c r="J190" s="462">
        <v>15880</v>
      </c>
      <c r="K190" s="462">
        <v>15693</v>
      </c>
      <c r="L190" s="462">
        <v>15515</v>
      </c>
      <c r="M190" s="462">
        <f t="shared" si="2"/>
        <v>15515</v>
      </c>
    </row>
    <row r="191" spans="1:13" x14ac:dyDescent="0.2">
      <c r="A191" s="179" t="s">
        <v>214</v>
      </c>
      <c r="B191" s="460">
        <f>pohjatiedot!AO186</f>
        <v>4321</v>
      </c>
      <c r="C191" s="507">
        <v>4321</v>
      </c>
      <c r="D191" s="454">
        <v>4310</v>
      </c>
      <c r="E191" s="454">
        <v>4249</v>
      </c>
      <c r="F191" s="454">
        <v>4188</v>
      </c>
      <c r="G191" s="454">
        <v>4129</v>
      </c>
      <c r="H191" s="461">
        <v>4070</v>
      </c>
      <c r="I191" s="462">
        <v>4012</v>
      </c>
      <c r="J191" s="462">
        <v>3955</v>
      </c>
      <c r="K191" s="462">
        <v>3902</v>
      </c>
      <c r="L191" s="462">
        <v>3849</v>
      </c>
      <c r="M191" s="462">
        <f t="shared" si="2"/>
        <v>3849</v>
      </c>
    </row>
    <row r="192" spans="1:13" x14ac:dyDescent="0.2">
      <c r="A192" s="179" t="s">
        <v>215</v>
      </c>
      <c r="B192" s="460">
        <f>pohjatiedot!AO187</f>
        <v>19066</v>
      </c>
      <c r="C192" s="507">
        <v>19066</v>
      </c>
      <c r="D192" s="454">
        <v>18978</v>
      </c>
      <c r="E192" s="454">
        <v>18880</v>
      </c>
      <c r="F192" s="454">
        <v>18785</v>
      </c>
      <c r="G192" s="454">
        <v>18697</v>
      </c>
      <c r="H192" s="461">
        <v>18606</v>
      </c>
      <c r="I192" s="462">
        <v>18514</v>
      </c>
      <c r="J192" s="462">
        <v>18423</v>
      </c>
      <c r="K192" s="462">
        <v>18335</v>
      </c>
      <c r="L192" s="462">
        <v>18245</v>
      </c>
      <c r="M192" s="462">
        <f t="shared" si="2"/>
        <v>18245</v>
      </c>
    </row>
    <row r="193" spans="1:13" x14ac:dyDescent="0.2">
      <c r="A193" s="179" t="s">
        <v>216</v>
      </c>
      <c r="B193" s="460">
        <f>pohjatiedot!AO188</f>
        <v>3931</v>
      </c>
      <c r="C193" s="507">
        <v>3931</v>
      </c>
      <c r="D193" s="454">
        <v>3867</v>
      </c>
      <c r="E193" s="454">
        <v>3809</v>
      </c>
      <c r="F193" s="454">
        <v>3753</v>
      </c>
      <c r="G193" s="454">
        <v>3698</v>
      </c>
      <c r="H193" s="461">
        <v>3645</v>
      </c>
      <c r="I193" s="462">
        <v>3595</v>
      </c>
      <c r="J193" s="462">
        <v>3546</v>
      </c>
      <c r="K193" s="462">
        <v>3500</v>
      </c>
      <c r="L193" s="462">
        <v>3456</v>
      </c>
      <c r="M193" s="462">
        <f t="shared" si="2"/>
        <v>3456</v>
      </c>
    </row>
    <row r="194" spans="1:13" x14ac:dyDescent="0.2">
      <c r="A194" s="179" t="s">
        <v>217</v>
      </c>
      <c r="B194" s="460">
        <f>pohjatiedot!AO189</f>
        <v>19803</v>
      </c>
      <c r="C194" s="507">
        <v>19803</v>
      </c>
      <c r="D194" s="454">
        <v>19698</v>
      </c>
      <c r="E194" s="454">
        <v>19793</v>
      </c>
      <c r="F194" s="454">
        <v>19875</v>
      </c>
      <c r="G194" s="454">
        <v>19946</v>
      </c>
      <c r="H194" s="461">
        <v>20008</v>
      </c>
      <c r="I194" s="462">
        <v>20061</v>
      </c>
      <c r="J194" s="462">
        <v>20108</v>
      </c>
      <c r="K194" s="462">
        <v>20146</v>
      </c>
      <c r="L194" s="462">
        <v>20174</v>
      </c>
      <c r="M194" s="462">
        <f t="shared" si="2"/>
        <v>20174</v>
      </c>
    </row>
    <row r="195" spans="1:13" x14ac:dyDescent="0.2">
      <c r="A195" s="179" t="s">
        <v>218</v>
      </c>
      <c r="B195" s="460">
        <f>pohjatiedot!AO190</f>
        <v>4201</v>
      </c>
      <c r="C195" s="507">
        <v>4201</v>
      </c>
      <c r="D195" s="454">
        <v>4110</v>
      </c>
      <c r="E195" s="454">
        <v>4054</v>
      </c>
      <c r="F195" s="454">
        <v>4000</v>
      </c>
      <c r="G195" s="454">
        <v>3949</v>
      </c>
      <c r="H195" s="461">
        <v>3896</v>
      </c>
      <c r="I195" s="462">
        <v>3849</v>
      </c>
      <c r="J195" s="462">
        <v>3801</v>
      </c>
      <c r="K195" s="462">
        <v>3753</v>
      </c>
      <c r="L195" s="462">
        <v>3708</v>
      </c>
      <c r="M195" s="462">
        <f t="shared" si="2"/>
        <v>3708</v>
      </c>
    </row>
    <row r="196" spans="1:13" x14ac:dyDescent="0.2">
      <c r="A196" s="179" t="s">
        <v>219</v>
      </c>
      <c r="B196" s="460">
        <f>pohjatiedot!AO191</f>
        <v>2063</v>
      </c>
      <c r="C196" s="507">
        <v>2063</v>
      </c>
      <c r="D196" s="454">
        <v>2035</v>
      </c>
      <c r="E196" s="454">
        <v>1998</v>
      </c>
      <c r="F196" s="454">
        <v>1964</v>
      </c>
      <c r="G196" s="454">
        <v>1930</v>
      </c>
      <c r="H196" s="461">
        <v>1900</v>
      </c>
      <c r="I196" s="462">
        <v>1867</v>
      </c>
      <c r="J196" s="462">
        <v>1835</v>
      </c>
      <c r="K196" s="462">
        <v>1806</v>
      </c>
      <c r="L196" s="462">
        <v>1778</v>
      </c>
      <c r="M196" s="462">
        <f t="shared" si="2"/>
        <v>1778</v>
      </c>
    </row>
    <row r="197" spans="1:13" s="357" customFormat="1" x14ac:dyDescent="0.2">
      <c r="A197" s="352" t="s">
        <v>220</v>
      </c>
      <c r="B197" s="460">
        <f>pohjatiedot!AO192</f>
        <v>83684</v>
      </c>
      <c r="C197" s="460">
        <v>83684</v>
      </c>
      <c r="D197" s="456">
        <v>83265</v>
      </c>
      <c r="E197" s="456">
        <v>82893</v>
      </c>
      <c r="F197" s="456">
        <v>82529</v>
      </c>
      <c r="G197" s="456">
        <v>82167</v>
      </c>
      <c r="H197" s="461">
        <v>81805</v>
      </c>
      <c r="I197" s="462">
        <v>81441</v>
      </c>
      <c r="J197" s="462">
        <v>81077</v>
      </c>
      <c r="K197" s="462">
        <v>80713</v>
      </c>
      <c r="L197" s="462">
        <v>80348</v>
      </c>
      <c r="M197" s="462">
        <f t="shared" si="2"/>
        <v>80348</v>
      </c>
    </row>
    <row r="198" spans="1:13" x14ac:dyDescent="0.2">
      <c r="A198" s="179" t="s">
        <v>221</v>
      </c>
      <c r="B198" s="460">
        <f>pohjatiedot!AO193</f>
        <v>5070</v>
      </c>
      <c r="C198" s="507">
        <v>5070</v>
      </c>
      <c r="D198" s="454">
        <v>4964</v>
      </c>
      <c r="E198" s="454">
        <v>4935</v>
      </c>
      <c r="F198" s="454">
        <v>4905</v>
      </c>
      <c r="G198" s="454">
        <v>4879</v>
      </c>
      <c r="H198" s="461">
        <v>4855</v>
      </c>
      <c r="I198" s="462">
        <v>4838</v>
      </c>
      <c r="J198" s="462">
        <v>4822</v>
      </c>
      <c r="K198" s="462">
        <v>4806</v>
      </c>
      <c r="L198" s="462">
        <v>4795</v>
      </c>
      <c r="M198" s="462">
        <f t="shared" si="2"/>
        <v>4795</v>
      </c>
    </row>
    <row r="199" spans="1:13" x14ac:dyDescent="0.2">
      <c r="A199" s="179" t="s">
        <v>222</v>
      </c>
      <c r="B199" s="460">
        <f>pohjatiedot!AO194</f>
        <v>50619</v>
      </c>
      <c r="C199" s="507">
        <v>50619</v>
      </c>
      <c r="D199" s="454">
        <v>50408</v>
      </c>
      <c r="E199" s="454">
        <v>50442</v>
      </c>
      <c r="F199" s="454">
        <v>50469</v>
      </c>
      <c r="G199" s="454">
        <v>50490</v>
      </c>
      <c r="H199" s="461">
        <v>50501</v>
      </c>
      <c r="I199" s="462">
        <v>50508</v>
      </c>
      <c r="J199" s="462">
        <v>50506</v>
      </c>
      <c r="K199" s="462">
        <v>50496</v>
      </c>
      <c r="L199" s="462">
        <v>50479</v>
      </c>
      <c r="M199" s="462">
        <f t="shared" si="2"/>
        <v>50479</v>
      </c>
    </row>
    <row r="200" spans="1:13" x14ac:dyDescent="0.2">
      <c r="A200" s="179" t="s">
        <v>223</v>
      </c>
      <c r="B200" s="460">
        <f>pohjatiedot!AO195</f>
        <v>3117</v>
      </c>
      <c r="C200" s="507">
        <v>3117</v>
      </c>
      <c r="D200" s="454">
        <v>3005</v>
      </c>
      <c r="E200" s="454">
        <v>2938</v>
      </c>
      <c r="F200" s="454">
        <v>2875</v>
      </c>
      <c r="G200" s="454">
        <v>2815</v>
      </c>
      <c r="H200" s="461">
        <v>2760</v>
      </c>
      <c r="I200" s="462">
        <v>2706</v>
      </c>
      <c r="J200" s="462">
        <v>2654</v>
      </c>
      <c r="K200" s="462">
        <v>2605</v>
      </c>
      <c r="L200" s="462">
        <v>2559</v>
      </c>
      <c r="M200" s="462">
        <f t="shared" si="2"/>
        <v>2559</v>
      </c>
    </row>
    <row r="201" spans="1:13" x14ac:dyDescent="0.2">
      <c r="A201" s="179" t="s">
        <v>224</v>
      </c>
      <c r="B201" s="460">
        <f>pohjatiedot!AO196</f>
        <v>7779</v>
      </c>
      <c r="C201" s="507">
        <v>7779</v>
      </c>
      <c r="D201" s="454">
        <v>7623</v>
      </c>
      <c r="E201" s="454">
        <v>7512</v>
      </c>
      <c r="F201" s="454">
        <v>7405</v>
      </c>
      <c r="G201" s="454">
        <v>7300</v>
      </c>
      <c r="H201" s="461">
        <v>7200</v>
      </c>
      <c r="I201" s="462">
        <v>7103</v>
      </c>
      <c r="J201" s="462">
        <v>7013</v>
      </c>
      <c r="K201" s="462">
        <v>6921</v>
      </c>
      <c r="L201" s="462">
        <v>6834</v>
      </c>
      <c r="M201" s="462">
        <f t="shared" ref="M201:M264" si="3">L201</f>
        <v>6834</v>
      </c>
    </row>
    <row r="202" spans="1:13" x14ac:dyDescent="0.2">
      <c r="A202" s="179" t="s">
        <v>225</v>
      </c>
      <c r="B202" s="460">
        <f>pohjatiedot!AO197</f>
        <v>1833</v>
      </c>
      <c r="C202" s="507">
        <v>1833</v>
      </c>
      <c r="D202" s="454">
        <v>1857</v>
      </c>
      <c r="E202" s="454">
        <v>1843</v>
      </c>
      <c r="F202" s="454">
        <v>1832</v>
      </c>
      <c r="G202" s="454">
        <v>1819</v>
      </c>
      <c r="H202" s="461">
        <v>1808</v>
      </c>
      <c r="I202" s="462">
        <v>1797</v>
      </c>
      <c r="J202" s="462">
        <v>1789</v>
      </c>
      <c r="K202" s="462">
        <v>1779</v>
      </c>
      <c r="L202" s="462">
        <v>1773</v>
      </c>
      <c r="M202" s="462">
        <f t="shared" si="3"/>
        <v>1773</v>
      </c>
    </row>
    <row r="203" spans="1:13" x14ac:dyDescent="0.2">
      <c r="A203" s="179" t="s">
        <v>226</v>
      </c>
      <c r="B203" s="460">
        <f>pohjatiedot!AO198</f>
        <v>2785</v>
      </c>
      <c r="C203" s="507">
        <v>2785</v>
      </c>
      <c r="D203" s="454">
        <v>2739</v>
      </c>
      <c r="E203" s="454">
        <v>2697</v>
      </c>
      <c r="F203" s="454">
        <v>2655</v>
      </c>
      <c r="G203" s="454">
        <v>2617</v>
      </c>
      <c r="H203" s="461">
        <v>2582</v>
      </c>
      <c r="I203" s="462">
        <v>2549</v>
      </c>
      <c r="J203" s="462">
        <v>2518</v>
      </c>
      <c r="K203" s="462">
        <v>2489</v>
      </c>
      <c r="L203" s="462">
        <v>2460</v>
      </c>
      <c r="M203" s="462">
        <f t="shared" si="3"/>
        <v>2460</v>
      </c>
    </row>
    <row r="204" spans="1:13" x14ac:dyDescent="0.2">
      <c r="A204" s="179" t="s">
        <v>227</v>
      </c>
      <c r="B204" s="460">
        <f>pohjatiedot!AO199</f>
        <v>2491</v>
      </c>
      <c r="C204" s="507">
        <v>2491</v>
      </c>
      <c r="D204" s="454">
        <v>2398</v>
      </c>
      <c r="E204" s="454">
        <v>2340</v>
      </c>
      <c r="F204" s="454">
        <v>2289</v>
      </c>
      <c r="G204" s="454">
        <v>2240</v>
      </c>
      <c r="H204" s="461">
        <v>2193</v>
      </c>
      <c r="I204" s="462">
        <v>2150</v>
      </c>
      <c r="J204" s="462">
        <v>2106</v>
      </c>
      <c r="K204" s="462">
        <v>2067</v>
      </c>
      <c r="L204" s="462">
        <v>2026</v>
      </c>
      <c r="M204" s="462">
        <f t="shared" si="3"/>
        <v>2026</v>
      </c>
    </row>
    <row r="205" spans="1:13" x14ac:dyDescent="0.2">
      <c r="A205" s="179" t="s">
        <v>14</v>
      </c>
      <c r="B205" s="460">
        <f>pohjatiedot!AO200</f>
        <v>2137</v>
      </c>
      <c r="C205" s="507">
        <v>2137</v>
      </c>
      <c r="D205" s="454">
        <v>2123</v>
      </c>
      <c r="E205" s="454">
        <v>2102</v>
      </c>
      <c r="F205" s="454">
        <v>2081</v>
      </c>
      <c r="G205" s="454">
        <v>2062</v>
      </c>
      <c r="H205" s="461">
        <v>2043</v>
      </c>
      <c r="I205" s="462">
        <v>2026</v>
      </c>
      <c r="J205" s="462">
        <v>2010</v>
      </c>
      <c r="K205" s="462">
        <v>1995</v>
      </c>
      <c r="L205" s="462">
        <v>1982</v>
      </c>
      <c r="M205" s="462">
        <f t="shared" si="3"/>
        <v>1982</v>
      </c>
    </row>
    <row r="206" spans="1:13" x14ac:dyDescent="0.2">
      <c r="A206" s="179" t="s">
        <v>228</v>
      </c>
      <c r="B206" s="460">
        <f>pohjatiedot!AO201</f>
        <v>5125</v>
      </c>
      <c r="C206" s="507">
        <v>5125</v>
      </c>
      <c r="D206" s="454">
        <v>5092</v>
      </c>
      <c r="E206" s="454">
        <v>5054</v>
      </c>
      <c r="F206" s="454">
        <v>5015</v>
      </c>
      <c r="G206" s="454">
        <v>4972</v>
      </c>
      <c r="H206" s="461">
        <v>4925</v>
      </c>
      <c r="I206" s="462">
        <v>4879</v>
      </c>
      <c r="J206" s="462">
        <v>4832</v>
      </c>
      <c r="K206" s="462">
        <v>4786</v>
      </c>
      <c r="L206" s="462">
        <v>4734</v>
      </c>
      <c r="M206" s="462">
        <f t="shared" si="3"/>
        <v>4734</v>
      </c>
    </row>
    <row r="207" spans="1:13" x14ac:dyDescent="0.2">
      <c r="A207" s="179" t="s">
        <v>229</v>
      </c>
      <c r="B207" s="460">
        <f>pohjatiedot!AO202</f>
        <v>3051</v>
      </c>
      <c r="C207" s="507">
        <v>3051</v>
      </c>
      <c r="D207" s="454">
        <v>3033</v>
      </c>
      <c r="E207" s="454">
        <v>2997</v>
      </c>
      <c r="F207" s="454">
        <v>2962</v>
      </c>
      <c r="G207" s="454">
        <v>2930</v>
      </c>
      <c r="H207" s="461">
        <v>2899</v>
      </c>
      <c r="I207" s="462">
        <v>2866</v>
      </c>
      <c r="J207" s="462">
        <v>2834</v>
      </c>
      <c r="K207" s="462">
        <v>2800</v>
      </c>
      <c r="L207" s="462">
        <v>2767</v>
      </c>
      <c r="M207" s="462">
        <f t="shared" si="3"/>
        <v>2767</v>
      </c>
    </row>
    <row r="208" spans="1:13" x14ac:dyDescent="0.2">
      <c r="A208" s="179" t="s">
        <v>230</v>
      </c>
      <c r="B208" s="460">
        <f>pohjatiedot!AO203</f>
        <v>5033</v>
      </c>
      <c r="C208" s="507">
        <v>5033</v>
      </c>
      <c r="D208" s="454">
        <v>4962</v>
      </c>
      <c r="E208" s="454">
        <v>4873</v>
      </c>
      <c r="F208" s="454">
        <v>4792</v>
      </c>
      <c r="G208" s="454">
        <v>4710</v>
      </c>
      <c r="H208" s="461">
        <v>4629</v>
      </c>
      <c r="I208" s="462">
        <v>4555</v>
      </c>
      <c r="J208" s="462">
        <v>4482</v>
      </c>
      <c r="K208" s="462">
        <v>4411</v>
      </c>
      <c r="L208" s="462">
        <v>4340</v>
      </c>
      <c r="M208" s="462">
        <f t="shared" si="3"/>
        <v>4340</v>
      </c>
    </row>
    <row r="209" spans="1:13" x14ac:dyDescent="0.2">
      <c r="A209" s="179" t="s">
        <v>231</v>
      </c>
      <c r="B209" s="460">
        <f>pohjatiedot!AO204</f>
        <v>1593</v>
      </c>
      <c r="C209" s="507">
        <v>1593</v>
      </c>
      <c r="D209" s="454">
        <v>1541</v>
      </c>
      <c r="E209" s="454">
        <v>1534</v>
      </c>
      <c r="F209" s="454">
        <v>1526</v>
      </c>
      <c r="G209" s="454">
        <v>1518</v>
      </c>
      <c r="H209" s="461">
        <v>1510</v>
      </c>
      <c r="I209" s="462">
        <v>1500</v>
      </c>
      <c r="J209" s="462">
        <v>1492</v>
      </c>
      <c r="K209" s="462">
        <v>1483</v>
      </c>
      <c r="L209" s="462">
        <v>1477</v>
      </c>
      <c r="M209" s="462">
        <f t="shared" si="3"/>
        <v>1477</v>
      </c>
    </row>
    <row r="210" spans="1:13" x14ac:dyDescent="0.2">
      <c r="A210" s="179" t="s">
        <v>232</v>
      </c>
      <c r="B210" s="460">
        <f>pohjatiedot!AO205</f>
        <v>1994</v>
      </c>
      <c r="C210" s="507">
        <v>1994</v>
      </c>
      <c r="D210" s="454">
        <v>1950</v>
      </c>
      <c r="E210" s="454">
        <v>1927</v>
      </c>
      <c r="F210" s="454">
        <v>1907</v>
      </c>
      <c r="G210" s="454">
        <v>1889</v>
      </c>
      <c r="H210" s="461">
        <v>1871</v>
      </c>
      <c r="I210" s="462">
        <v>1855</v>
      </c>
      <c r="J210" s="462">
        <v>1839</v>
      </c>
      <c r="K210" s="462">
        <v>1822</v>
      </c>
      <c r="L210" s="462">
        <v>1807</v>
      </c>
      <c r="M210" s="462">
        <f t="shared" si="3"/>
        <v>1807</v>
      </c>
    </row>
    <row r="211" spans="1:13" x14ac:dyDescent="0.2">
      <c r="A211" s="179" t="s">
        <v>233</v>
      </c>
      <c r="B211" s="460">
        <f>pohjatiedot!AO206</f>
        <v>6415</v>
      </c>
      <c r="C211" s="507">
        <v>6415</v>
      </c>
      <c r="D211" s="454">
        <v>6319</v>
      </c>
      <c r="E211" s="454">
        <v>6266</v>
      </c>
      <c r="F211" s="454">
        <v>6216</v>
      </c>
      <c r="G211" s="454">
        <v>6167</v>
      </c>
      <c r="H211" s="461">
        <v>6123</v>
      </c>
      <c r="I211" s="462">
        <v>6080</v>
      </c>
      <c r="J211" s="462">
        <v>6039</v>
      </c>
      <c r="K211" s="462">
        <v>6002</v>
      </c>
      <c r="L211" s="462">
        <v>5967</v>
      </c>
      <c r="M211" s="462">
        <f t="shared" si="3"/>
        <v>5967</v>
      </c>
    </row>
    <row r="212" spans="1:13" x14ac:dyDescent="0.2">
      <c r="A212" s="179" t="s">
        <v>234</v>
      </c>
      <c r="B212" s="460">
        <f>pohjatiedot!AO207</f>
        <v>8229</v>
      </c>
      <c r="C212" s="507">
        <v>8229</v>
      </c>
      <c r="D212" s="454">
        <v>8155</v>
      </c>
      <c r="E212" s="454">
        <v>8099</v>
      </c>
      <c r="F212" s="454">
        <v>8043</v>
      </c>
      <c r="G212" s="454">
        <v>7990</v>
      </c>
      <c r="H212" s="461">
        <v>7940</v>
      </c>
      <c r="I212" s="462">
        <v>7891</v>
      </c>
      <c r="J212" s="462">
        <v>7842</v>
      </c>
      <c r="K212" s="462">
        <v>7791</v>
      </c>
      <c r="L212" s="462">
        <v>7740</v>
      </c>
      <c r="M212" s="462">
        <f t="shared" si="3"/>
        <v>7740</v>
      </c>
    </row>
    <row r="213" spans="1:13" x14ac:dyDescent="0.2">
      <c r="A213" s="179" t="s">
        <v>235</v>
      </c>
      <c r="B213" s="460">
        <f>pohjatiedot!AO208</f>
        <v>24353</v>
      </c>
      <c r="C213" s="507">
        <v>24353</v>
      </c>
      <c r="D213" s="454">
        <v>24288</v>
      </c>
      <c r="E213" s="454">
        <v>24110</v>
      </c>
      <c r="F213" s="454">
        <v>23932</v>
      </c>
      <c r="G213" s="454">
        <v>23746</v>
      </c>
      <c r="H213" s="461">
        <v>23554</v>
      </c>
      <c r="I213" s="462">
        <v>23361</v>
      </c>
      <c r="J213" s="462">
        <v>23162</v>
      </c>
      <c r="K213" s="462">
        <v>22958</v>
      </c>
      <c r="L213" s="462">
        <v>22752</v>
      </c>
      <c r="M213" s="462">
        <f t="shared" si="3"/>
        <v>22752</v>
      </c>
    </row>
    <row r="214" spans="1:13" x14ac:dyDescent="0.2">
      <c r="A214" s="179" t="s">
        <v>363</v>
      </c>
      <c r="B214" s="460">
        <f>pohjatiedot!AO209</f>
        <v>27528</v>
      </c>
      <c r="C214" s="507">
        <v>27528</v>
      </c>
      <c r="D214" s="454">
        <v>26878</v>
      </c>
      <c r="E214" s="454">
        <v>26675</v>
      </c>
      <c r="F214" s="454">
        <v>26479</v>
      </c>
      <c r="G214" s="454">
        <v>26283</v>
      </c>
      <c r="H214" s="461">
        <v>26090</v>
      </c>
      <c r="I214" s="462">
        <v>25902</v>
      </c>
      <c r="J214" s="462">
        <v>25720</v>
      </c>
      <c r="K214" s="462">
        <v>25544</v>
      </c>
      <c r="L214" s="462">
        <v>25372</v>
      </c>
      <c r="M214" s="462">
        <f t="shared" si="3"/>
        <v>25372</v>
      </c>
    </row>
    <row r="215" spans="1:13" x14ac:dyDescent="0.2">
      <c r="A215" s="179" t="s">
        <v>236</v>
      </c>
      <c r="B215" s="460">
        <f>pohjatiedot!AO210</f>
        <v>24407</v>
      </c>
      <c r="C215" s="507">
        <v>24407</v>
      </c>
      <c r="D215" s="454">
        <v>23796</v>
      </c>
      <c r="E215" s="454">
        <v>23700</v>
      </c>
      <c r="F215" s="454">
        <v>23616</v>
      </c>
      <c r="G215" s="454">
        <v>23538</v>
      </c>
      <c r="H215" s="461">
        <v>23466</v>
      </c>
      <c r="I215" s="462">
        <v>23395</v>
      </c>
      <c r="J215" s="462">
        <v>23324</v>
      </c>
      <c r="K215" s="462">
        <v>23255</v>
      </c>
      <c r="L215" s="462">
        <v>23190</v>
      </c>
      <c r="M215" s="462">
        <f t="shared" si="3"/>
        <v>23190</v>
      </c>
    </row>
    <row r="216" spans="1:13" x14ac:dyDescent="0.2">
      <c r="A216" s="179" t="s">
        <v>237</v>
      </c>
      <c r="B216" s="460">
        <f>pohjatiedot!AO211</f>
        <v>3364</v>
      </c>
      <c r="C216" s="507">
        <v>3364</v>
      </c>
      <c r="D216" s="454">
        <v>3324</v>
      </c>
      <c r="E216" s="454">
        <v>3267</v>
      </c>
      <c r="F216" s="454">
        <v>3213</v>
      </c>
      <c r="G216" s="454">
        <v>3163</v>
      </c>
      <c r="H216" s="461">
        <v>3114</v>
      </c>
      <c r="I216" s="462">
        <v>3068</v>
      </c>
      <c r="J216" s="462">
        <v>3025</v>
      </c>
      <c r="K216" s="462">
        <v>2982</v>
      </c>
      <c r="L216" s="462">
        <v>2941</v>
      </c>
      <c r="M216" s="462">
        <f t="shared" si="3"/>
        <v>2941</v>
      </c>
    </row>
    <row r="217" spans="1:13" x14ac:dyDescent="0.2">
      <c r="A217" s="179" t="s">
        <v>238</v>
      </c>
      <c r="B217" s="460">
        <f>pohjatiedot!AO212</f>
        <v>3712</v>
      </c>
      <c r="C217" s="507">
        <v>3712</v>
      </c>
      <c r="D217" s="454">
        <v>3724</v>
      </c>
      <c r="E217" s="454">
        <v>3665</v>
      </c>
      <c r="F217" s="454">
        <v>3608</v>
      </c>
      <c r="G217" s="454">
        <v>3555</v>
      </c>
      <c r="H217" s="461">
        <v>3501</v>
      </c>
      <c r="I217" s="462">
        <v>3450</v>
      </c>
      <c r="J217" s="462">
        <v>3404</v>
      </c>
      <c r="K217" s="462">
        <v>3358</v>
      </c>
      <c r="L217" s="462">
        <v>3313</v>
      </c>
      <c r="M217" s="462">
        <f t="shared" si="3"/>
        <v>3313</v>
      </c>
    </row>
    <row r="218" spans="1:13" x14ac:dyDescent="0.2">
      <c r="A218" s="179" t="s">
        <v>239</v>
      </c>
      <c r="B218" s="460">
        <f>pohjatiedot!AO213</f>
        <v>39040</v>
      </c>
      <c r="C218" s="507">
        <v>39040</v>
      </c>
      <c r="D218" s="454">
        <v>38953</v>
      </c>
      <c r="E218" s="454">
        <v>38834</v>
      </c>
      <c r="F218" s="454">
        <v>38717</v>
      </c>
      <c r="G218" s="454">
        <v>38596</v>
      </c>
      <c r="H218" s="461">
        <v>38476</v>
      </c>
      <c r="I218" s="462">
        <v>38350</v>
      </c>
      <c r="J218" s="462">
        <v>38229</v>
      </c>
      <c r="K218" s="462">
        <v>38107</v>
      </c>
      <c r="L218" s="462">
        <v>37982</v>
      </c>
      <c r="M218" s="462">
        <f t="shared" si="3"/>
        <v>37982</v>
      </c>
    </row>
    <row r="219" spans="1:13" x14ac:dyDescent="0.2">
      <c r="A219" s="179" t="s">
        <v>240</v>
      </c>
      <c r="B219" s="460">
        <f>pohjatiedot!AO214</f>
        <v>3053</v>
      </c>
      <c r="C219" s="507">
        <v>3053</v>
      </c>
      <c r="D219" s="454">
        <v>3074</v>
      </c>
      <c r="E219" s="454">
        <v>3032</v>
      </c>
      <c r="F219" s="454">
        <v>2993</v>
      </c>
      <c r="G219" s="454">
        <v>2953</v>
      </c>
      <c r="H219" s="461">
        <v>2912</v>
      </c>
      <c r="I219" s="462">
        <v>2876</v>
      </c>
      <c r="J219" s="462">
        <v>2839</v>
      </c>
      <c r="K219" s="462">
        <v>2806</v>
      </c>
      <c r="L219" s="462">
        <v>2773</v>
      </c>
      <c r="M219" s="462">
        <f t="shared" si="3"/>
        <v>2773</v>
      </c>
    </row>
    <row r="220" spans="1:13" x14ac:dyDescent="0.2">
      <c r="A220" s="179" t="s">
        <v>241</v>
      </c>
      <c r="B220" s="460">
        <f>pohjatiedot!AO215</f>
        <v>1561</v>
      </c>
      <c r="C220" s="507">
        <v>1561</v>
      </c>
      <c r="D220" s="454">
        <v>1577</v>
      </c>
      <c r="E220" s="454">
        <v>1556</v>
      </c>
      <c r="F220" s="454">
        <v>1533</v>
      </c>
      <c r="G220" s="454">
        <v>1512</v>
      </c>
      <c r="H220" s="461">
        <v>1490</v>
      </c>
      <c r="I220" s="462">
        <v>1469</v>
      </c>
      <c r="J220" s="462">
        <v>1450</v>
      </c>
      <c r="K220" s="462">
        <v>1430</v>
      </c>
      <c r="L220" s="462">
        <v>1413</v>
      </c>
      <c r="M220" s="462">
        <f t="shared" si="3"/>
        <v>1413</v>
      </c>
    </row>
    <row r="221" spans="1:13" x14ac:dyDescent="0.2">
      <c r="A221" s="179" t="s">
        <v>242</v>
      </c>
      <c r="B221" s="460">
        <f>pohjatiedot!AO216</f>
        <v>3146</v>
      </c>
      <c r="C221" s="507">
        <v>3146</v>
      </c>
      <c r="D221" s="454">
        <v>3134</v>
      </c>
      <c r="E221" s="454">
        <v>3074</v>
      </c>
      <c r="F221" s="454">
        <v>3019</v>
      </c>
      <c r="G221" s="454">
        <v>2966</v>
      </c>
      <c r="H221" s="461">
        <v>2913</v>
      </c>
      <c r="I221" s="462">
        <v>2863</v>
      </c>
      <c r="J221" s="462">
        <v>2815</v>
      </c>
      <c r="K221" s="462">
        <v>2771</v>
      </c>
      <c r="L221" s="462">
        <v>2728</v>
      </c>
      <c r="M221" s="462">
        <f t="shared" si="3"/>
        <v>2728</v>
      </c>
    </row>
    <row r="222" spans="1:13" x14ac:dyDescent="0.2">
      <c r="A222" s="179" t="s">
        <v>243</v>
      </c>
      <c r="B222" s="460">
        <f>pohjatiedot!AO217</f>
        <v>2710</v>
      </c>
      <c r="C222" s="507">
        <v>2710</v>
      </c>
      <c r="D222" s="454">
        <v>2620</v>
      </c>
      <c r="E222" s="454">
        <v>2580</v>
      </c>
      <c r="F222" s="454">
        <v>2542</v>
      </c>
      <c r="G222" s="454">
        <v>2505</v>
      </c>
      <c r="H222" s="461">
        <v>2470</v>
      </c>
      <c r="I222" s="462">
        <v>2436</v>
      </c>
      <c r="J222" s="462">
        <v>2402</v>
      </c>
      <c r="K222" s="462">
        <v>2371</v>
      </c>
      <c r="L222" s="462">
        <v>2341</v>
      </c>
      <c r="M222" s="462">
        <f t="shared" si="3"/>
        <v>2341</v>
      </c>
    </row>
    <row r="223" spans="1:13" x14ac:dyDescent="0.2">
      <c r="A223" s="179" t="s">
        <v>244</v>
      </c>
      <c r="B223" s="460">
        <f>pohjatiedot!AO218</f>
        <v>28710</v>
      </c>
      <c r="C223" s="507">
        <v>28710</v>
      </c>
      <c r="D223" s="454">
        <v>28246</v>
      </c>
      <c r="E223" s="454">
        <v>28116</v>
      </c>
      <c r="F223" s="454">
        <v>27999</v>
      </c>
      <c r="G223" s="454">
        <v>27890</v>
      </c>
      <c r="H223" s="461">
        <v>27786</v>
      </c>
      <c r="I223" s="462">
        <v>27683</v>
      </c>
      <c r="J223" s="462">
        <v>27581</v>
      </c>
      <c r="K223" s="462">
        <v>27486</v>
      </c>
      <c r="L223" s="462">
        <v>27392</v>
      </c>
      <c r="M223" s="462">
        <f t="shared" si="3"/>
        <v>27392</v>
      </c>
    </row>
    <row r="224" spans="1:13" x14ac:dyDescent="0.2">
      <c r="A224" s="179" t="s">
        <v>245</v>
      </c>
      <c r="B224" s="460">
        <f>pohjatiedot!AO219</f>
        <v>1235</v>
      </c>
      <c r="C224" s="507">
        <v>1235</v>
      </c>
      <c r="D224" s="454">
        <v>1214</v>
      </c>
      <c r="E224" s="454">
        <v>1195</v>
      </c>
      <c r="F224" s="454">
        <v>1177</v>
      </c>
      <c r="G224" s="454">
        <v>1162</v>
      </c>
      <c r="H224" s="461">
        <v>1149</v>
      </c>
      <c r="I224" s="462">
        <v>1137</v>
      </c>
      <c r="J224" s="462">
        <v>1124</v>
      </c>
      <c r="K224" s="462">
        <v>1112</v>
      </c>
      <c r="L224" s="462">
        <v>1102</v>
      </c>
      <c r="M224" s="462">
        <f t="shared" si="3"/>
        <v>1102</v>
      </c>
    </row>
    <row r="225" spans="1:13" x14ac:dyDescent="0.2">
      <c r="A225" s="179" t="s">
        <v>246</v>
      </c>
      <c r="B225" s="460">
        <f>pohjatiedot!AO220</f>
        <v>63528</v>
      </c>
      <c r="C225" s="507">
        <v>63528</v>
      </c>
      <c r="D225" s="454">
        <v>63685</v>
      </c>
      <c r="E225" s="454">
        <v>63912</v>
      </c>
      <c r="F225" s="454">
        <v>64133</v>
      </c>
      <c r="G225" s="454">
        <v>64342</v>
      </c>
      <c r="H225" s="461">
        <v>64545</v>
      </c>
      <c r="I225" s="462">
        <v>64732</v>
      </c>
      <c r="J225" s="462">
        <v>64902</v>
      </c>
      <c r="K225" s="462">
        <v>65052</v>
      </c>
      <c r="L225" s="462">
        <v>65185</v>
      </c>
      <c r="M225" s="462">
        <f t="shared" si="3"/>
        <v>65185</v>
      </c>
    </row>
    <row r="226" spans="1:13" x14ac:dyDescent="0.2">
      <c r="A226" s="179" t="s">
        <v>247</v>
      </c>
      <c r="B226" s="460">
        <f>pohjatiedot!AO221</f>
        <v>4922</v>
      </c>
      <c r="C226" s="507">
        <v>4922</v>
      </c>
      <c r="D226" s="454">
        <v>4897</v>
      </c>
      <c r="E226" s="454">
        <v>4829</v>
      </c>
      <c r="F226" s="454">
        <v>4762</v>
      </c>
      <c r="G226" s="454">
        <v>4696</v>
      </c>
      <c r="H226" s="461">
        <v>4632</v>
      </c>
      <c r="I226" s="462">
        <v>4569</v>
      </c>
      <c r="J226" s="462">
        <v>4509</v>
      </c>
      <c r="K226" s="462">
        <v>4448</v>
      </c>
      <c r="L226" s="462">
        <v>4389</v>
      </c>
      <c r="M226" s="462">
        <f t="shared" si="3"/>
        <v>4389</v>
      </c>
    </row>
    <row r="227" spans="1:13" x14ac:dyDescent="0.2">
      <c r="A227" s="179" t="s">
        <v>248</v>
      </c>
      <c r="B227" s="460">
        <f>pohjatiedot!AO222</f>
        <v>4215</v>
      </c>
      <c r="C227" s="507">
        <v>4215</v>
      </c>
      <c r="D227" s="454">
        <v>4165</v>
      </c>
      <c r="E227" s="454">
        <v>4100</v>
      </c>
      <c r="F227" s="454">
        <v>4040</v>
      </c>
      <c r="G227" s="454">
        <v>3985</v>
      </c>
      <c r="H227" s="461">
        <v>3933</v>
      </c>
      <c r="I227" s="462">
        <v>3885</v>
      </c>
      <c r="J227" s="462">
        <v>3840</v>
      </c>
      <c r="K227" s="462">
        <v>3799</v>
      </c>
      <c r="L227" s="462">
        <v>3760</v>
      </c>
      <c r="M227" s="462">
        <f t="shared" si="3"/>
        <v>3760</v>
      </c>
    </row>
    <row r="228" spans="1:13" x14ac:dyDescent="0.2">
      <c r="A228" s="179" t="s">
        <v>249</v>
      </c>
      <c r="B228" s="460">
        <f>pohjatiedot!AO223</f>
        <v>6354</v>
      </c>
      <c r="C228" s="507">
        <v>6354</v>
      </c>
      <c r="D228" s="454">
        <v>6367</v>
      </c>
      <c r="E228" s="454">
        <v>6398</v>
      </c>
      <c r="F228" s="454">
        <v>6428</v>
      </c>
      <c r="G228" s="454">
        <v>6455</v>
      </c>
      <c r="H228" s="461">
        <v>6483</v>
      </c>
      <c r="I228" s="462">
        <v>6510</v>
      </c>
      <c r="J228" s="462">
        <v>6534</v>
      </c>
      <c r="K228" s="462">
        <v>6554</v>
      </c>
      <c r="L228" s="462">
        <v>6572</v>
      </c>
      <c r="M228" s="462">
        <f t="shared" si="3"/>
        <v>6572</v>
      </c>
    </row>
    <row r="229" spans="1:13" x14ac:dyDescent="0.2">
      <c r="A229" s="179" t="s">
        <v>250</v>
      </c>
      <c r="B229" s="460">
        <f>pohjatiedot!AO224</f>
        <v>2066</v>
      </c>
      <c r="C229" s="507">
        <v>2066</v>
      </c>
      <c r="D229" s="454">
        <v>2039</v>
      </c>
      <c r="E229" s="454">
        <v>2000</v>
      </c>
      <c r="F229" s="454">
        <v>1963</v>
      </c>
      <c r="G229" s="454">
        <v>1929</v>
      </c>
      <c r="H229" s="461">
        <v>1898</v>
      </c>
      <c r="I229" s="462">
        <v>1869</v>
      </c>
      <c r="J229" s="462">
        <v>1843</v>
      </c>
      <c r="K229" s="462">
        <v>1816</v>
      </c>
      <c r="L229" s="462">
        <v>1791</v>
      </c>
      <c r="M229" s="462">
        <f t="shared" si="3"/>
        <v>1791</v>
      </c>
    </row>
    <row r="230" spans="1:13" x14ac:dyDescent="0.2">
      <c r="A230" s="179" t="s">
        <v>251</v>
      </c>
      <c r="B230" s="460">
        <f>pohjatiedot!AO225</f>
        <v>9208</v>
      </c>
      <c r="C230" s="507">
        <v>9208</v>
      </c>
      <c r="D230" s="454">
        <v>8952</v>
      </c>
      <c r="E230" s="454">
        <v>8808</v>
      </c>
      <c r="F230" s="454">
        <v>8671</v>
      </c>
      <c r="G230" s="454">
        <v>8539</v>
      </c>
      <c r="H230" s="461">
        <v>8414</v>
      </c>
      <c r="I230" s="462">
        <v>8292</v>
      </c>
      <c r="J230" s="462">
        <v>8175</v>
      </c>
      <c r="K230" s="462">
        <v>8065</v>
      </c>
      <c r="L230" s="462">
        <v>7961</v>
      </c>
      <c r="M230" s="462">
        <f t="shared" si="3"/>
        <v>7961</v>
      </c>
    </row>
    <row r="231" spans="1:13" x14ac:dyDescent="0.2">
      <c r="A231" s="179" t="s">
        <v>252</v>
      </c>
      <c r="B231" s="460">
        <f>pohjatiedot!AO226</f>
        <v>3407</v>
      </c>
      <c r="C231" s="507">
        <v>3407</v>
      </c>
      <c r="D231" s="454">
        <v>3260</v>
      </c>
      <c r="E231" s="454">
        <v>3193</v>
      </c>
      <c r="F231" s="454">
        <v>3129</v>
      </c>
      <c r="G231" s="454">
        <v>3068</v>
      </c>
      <c r="H231" s="461">
        <v>3010</v>
      </c>
      <c r="I231" s="462">
        <v>2954</v>
      </c>
      <c r="J231" s="462">
        <v>2901</v>
      </c>
      <c r="K231" s="462">
        <v>2852</v>
      </c>
      <c r="L231" s="462">
        <v>2804</v>
      </c>
      <c r="M231" s="462">
        <f t="shared" si="3"/>
        <v>2804</v>
      </c>
    </row>
    <row r="232" spans="1:13" x14ac:dyDescent="0.2">
      <c r="A232" s="179" t="s">
        <v>253</v>
      </c>
      <c r="B232" s="460">
        <f>pohjatiedot!AO227</f>
        <v>51562</v>
      </c>
      <c r="C232" s="507">
        <v>51562</v>
      </c>
      <c r="D232" s="454">
        <v>50816</v>
      </c>
      <c r="E232" s="454">
        <v>50356</v>
      </c>
      <c r="F232" s="454">
        <v>49901</v>
      </c>
      <c r="G232" s="454">
        <v>49464</v>
      </c>
      <c r="H232" s="461">
        <v>49034</v>
      </c>
      <c r="I232" s="462">
        <v>48609</v>
      </c>
      <c r="J232" s="462">
        <v>48198</v>
      </c>
      <c r="K232" s="462">
        <v>47800</v>
      </c>
      <c r="L232" s="462">
        <v>47402</v>
      </c>
      <c r="M232" s="462">
        <f t="shared" si="3"/>
        <v>47402</v>
      </c>
    </row>
    <row r="233" spans="1:13" x14ac:dyDescent="0.2">
      <c r="A233" s="179" t="s">
        <v>365</v>
      </c>
      <c r="B233" s="460">
        <f>pohjatiedot!AO228</f>
        <v>24052</v>
      </c>
      <c r="C233" s="507">
        <v>24052</v>
      </c>
      <c r="D233" s="454">
        <v>23977</v>
      </c>
      <c r="E233" s="454">
        <v>23778</v>
      </c>
      <c r="F233" s="454">
        <v>23591</v>
      </c>
      <c r="G233" s="454">
        <v>23416</v>
      </c>
      <c r="H233" s="461">
        <v>23245</v>
      </c>
      <c r="I233" s="462">
        <v>23082</v>
      </c>
      <c r="J233" s="462">
        <v>22922</v>
      </c>
      <c r="K233" s="462">
        <v>22767</v>
      </c>
      <c r="L233" s="462">
        <v>22617</v>
      </c>
      <c r="M233" s="462">
        <f t="shared" si="3"/>
        <v>22617</v>
      </c>
    </row>
    <row r="234" spans="1:13" x14ac:dyDescent="0.2">
      <c r="A234" s="179" t="s">
        <v>254</v>
      </c>
      <c r="B234" s="460">
        <f>pohjatiedot!AO229</f>
        <v>2950</v>
      </c>
      <c r="C234" s="507">
        <v>2950</v>
      </c>
      <c r="D234" s="454">
        <v>2960</v>
      </c>
      <c r="E234" s="454">
        <v>2948</v>
      </c>
      <c r="F234" s="454">
        <v>2937</v>
      </c>
      <c r="G234" s="454">
        <v>2924</v>
      </c>
      <c r="H234" s="461">
        <v>2915</v>
      </c>
      <c r="I234" s="462">
        <v>2904</v>
      </c>
      <c r="J234" s="462">
        <v>2894</v>
      </c>
      <c r="K234" s="462">
        <v>2884</v>
      </c>
      <c r="L234" s="462">
        <v>2872</v>
      </c>
      <c r="M234" s="462">
        <f t="shared" si="3"/>
        <v>2872</v>
      </c>
    </row>
    <row r="235" spans="1:13" x14ac:dyDescent="0.2">
      <c r="A235" s="179" t="s">
        <v>255</v>
      </c>
      <c r="B235" s="460">
        <f>pohjatiedot!AO230</f>
        <v>3326</v>
      </c>
      <c r="C235" s="507">
        <v>3326</v>
      </c>
      <c r="D235" s="454">
        <v>3258</v>
      </c>
      <c r="E235" s="454">
        <v>3204</v>
      </c>
      <c r="F235" s="454">
        <v>3152</v>
      </c>
      <c r="G235" s="454">
        <v>3103</v>
      </c>
      <c r="H235" s="461">
        <v>3055</v>
      </c>
      <c r="I235" s="462">
        <v>3008</v>
      </c>
      <c r="J235" s="462">
        <v>2963</v>
      </c>
      <c r="K235" s="462">
        <v>2919</v>
      </c>
      <c r="L235" s="462">
        <v>2877</v>
      </c>
      <c r="M235" s="462">
        <f t="shared" si="3"/>
        <v>2877</v>
      </c>
    </row>
    <row r="236" spans="1:13" x14ac:dyDescent="0.2">
      <c r="A236" s="179" t="s">
        <v>256</v>
      </c>
      <c r="B236" s="460">
        <f>pohjatiedot!AO231</f>
        <v>32662</v>
      </c>
      <c r="C236" s="507">
        <v>32662</v>
      </c>
      <c r="D236" s="454">
        <v>32110</v>
      </c>
      <c r="E236" s="454">
        <v>31626</v>
      </c>
      <c r="F236" s="454">
        <v>31156</v>
      </c>
      <c r="G236" s="454">
        <v>30704</v>
      </c>
      <c r="H236" s="461">
        <v>30266</v>
      </c>
      <c r="I236" s="462">
        <v>29843</v>
      </c>
      <c r="J236" s="462">
        <v>29433</v>
      </c>
      <c r="K236" s="462">
        <v>29035</v>
      </c>
      <c r="L236" s="462">
        <v>28651</v>
      </c>
      <c r="M236" s="462">
        <f t="shared" si="3"/>
        <v>28651</v>
      </c>
    </row>
    <row r="237" spans="1:13" x14ac:dyDescent="0.2">
      <c r="A237" s="179" t="s">
        <v>257</v>
      </c>
      <c r="B237" s="460">
        <f>pohjatiedot!AO232</f>
        <v>1009</v>
      </c>
      <c r="C237" s="507">
        <v>1009</v>
      </c>
      <c r="D237" s="454">
        <v>971</v>
      </c>
      <c r="E237" s="454">
        <v>959</v>
      </c>
      <c r="F237" s="454">
        <v>946</v>
      </c>
      <c r="G237" s="454">
        <v>935</v>
      </c>
      <c r="H237" s="461">
        <v>926</v>
      </c>
      <c r="I237" s="462">
        <v>917</v>
      </c>
      <c r="J237" s="462">
        <v>910</v>
      </c>
      <c r="K237" s="462">
        <v>902</v>
      </c>
      <c r="L237" s="462">
        <v>895</v>
      </c>
      <c r="M237" s="462">
        <f t="shared" si="3"/>
        <v>895</v>
      </c>
    </row>
    <row r="238" spans="1:13" x14ac:dyDescent="0.2">
      <c r="A238" s="179" t="s">
        <v>258</v>
      </c>
      <c r="B238" s="460">
        <f>pohjatiedot!AO233</f>
        <v>64130</v>
      </c>
      <c r="C238" s="507">
        <v>64130</v>
      </c>
      <c r="D238" s="454">
        <v>64774</v>
      </c>
      <c r="E238" s="454">
        <v>65214</v>
      </c>
      <c r="F238" s="454">
        <v>65629</v>
      </c>
      <c r="G238" s="454">
        <v>66019</v>
      </c>
      <c r="H238" s="461">
        <v>66388</v>
      </c>
      <c r="I238" s="462">
        <v>66742</v>
      </c>
      <c r="J238" s="462">
        <v>67080</v>
      </c>
      <c r="K238" s="462">
        <v>67391</v>
      </c>
      <c r="L238" s="462">
        <v>67679</v>
      </c>
      <c r="M238" s="462">
        <f t="shared" si="3"/>
        <v>67679</v>
      </c>
    </row>
    <row r="239" spans="1:13" x14ac:dyDescent="0.2">
      <c r="A239" s="179" t="s">
        <v>259</v>
      </c>
      <c r="B239" s="460">
        <f>pohjatiedot!AO234</f>
        <v>4834</v>
      </c>
      <c r="C239" s="507">
        <v>4834</v>
      </c>
      <c r="D239" s="454">
        <v>4798</v>
      </c>
      <c r="E239" s="454">
        <v>4734</v>
      </c>
      <c r="F239" s="454">
        <v>4669</v>
      </c>
      <c r="G239" s="454">
        <v>4604</v>
      </c>
      <c r="H239" s="461">
        <v>4539</v>
      </c>
      <c r="I239" s="462">
        <v>4474</v>
      </c>
      <c r="J239" s="462">
        <v>4409</v>
      </c>
      <c r="K239" s="462">
        <v>4347</v>
      </c>
      <c r="L239" s="462">
        <v>4287</v>
      </c>
      <c r="M239" s="462">
        <f t="shared" si="3"/>
        <v>4287</v>
      </c>
    </row>
    <row r="240" spans="1:13" x14ac:dyDescent="0.2">
      <c r="A240" s="179" t="s">
        <v>260</v>
      </c>
      <c r="B240" s="460">
        <f>pohjatiedot!AO235</f>
        <v>1385</v>
      </c>
      <c r="C240" s="507">
        <v>1385</v>
      </c>
      <c r="D240" s="454">
        <v>1378</v>
      </c>
      <c r="E240" s="454">
        <v>1354</v>
      </c>
      <c r="F240" s="454">
        <v>1332</v>
      </c>
      <c r="G240" s="454">
        <v>1312</v>
      </c>
      <c r="H240" s="461">
        <v>1293</v>
      </c>
      <c r="I240" s="462">
        <v>1275</v>
      </c>
      <c r="J240" s="462">
        <v>1259</v>
      </c>
      <c r="K240" s="462">
        <v>1242</v>
      </c>
      <c r="L240" s="462">
        <v>1226</v>
      </c>
      <c r="M240" s="462">
        <f t="shared" si="3"/>
        <v>1226</v>
      </c>
    </row>
    <row r="241" spans="1:13" x14ac:dyDescent="0.2">
      <c r="A241" s="179" t="s">
        <v>261</v>
      </c>
      <c r="B241" s="460">
        <f>pohjatiedot!AO236</f>
        <v>5034</v>
      </c>
      <c r="C241" s="507">
        <v>5034</v>
      </c>
      <c r="D241" s="454">
        <v>5057</v>
      </c>
      <c r="E241" s="454">
        <v>4993</v>
      </c>
      <c r="F241" s="454">
        <v>4933</v>
      </c>
      <c r="G241" s="454">
        <v>4874</v>
      </c>
      <c r="H241" s="461">
        <v>4817</v>
      </c>
      <c r="I241" s="462">
        <v>4761</v>
      </c>
      <c r="J241" s="462">
        <v>4708</v>
      </c>
      <c r="K241" s="462">
        <v>4653</v>
      </c>
      <c r="L241" s="462">
        <v>4601</v>
      </c>
      <c r="M241" s="462">
        <f t="shared" si="3"/>
        <v>4601</v>
      </c>
    </row>
    <row r="242" spans="1:13" x14ac:dyDescent="0.2">
      <c r="A242" s="179" t="s">
        <v>364</v>
      </c>
      <c r="B242" s="460">
        <f>pohjatiedot!AO237</f>
        <v>5203</v>
      </c>
      <c r="C242" s="507">
        <v>5203</v>
      </c>
      <c r="D242" s="454">
        <v>4963</v>
      </c>
      <c r="E242" s="454">
        <v>4858</v>
      </c>
      <c r="F242" s="454">
        <v>4758</v>
      </c>
      <c r="G242" s="454">
        <v>4659</v>
      </c>
      <c r="H242" s="461">
        <v>4567</v>
      </c>
      <c r="I242" s="462">
        <v>4479</v>
      </c>
      <c r="J242" s="462">
        <v>4395</v>
      </c>
      <c r="K242" s="462">
        <v>4316</v>
      </c>
      <c r="L242" s="462">
        <v>4240</v>
      </c>
      <c r="M242" s="462">
        <f t="shared" si="3"/>
        <v>4240</v>
      </c>
    </row>
    <row r="243" spans="1:13" x14ac:dyDescent="0.2">
      <c r="A243" s="179" t="s">
        <v>262</v>
      </c>
      <c r="B243" s="460">
        <f>pohjatiedot!AO238</f>
        <v>21251</v>
      </c>
      <c r="C243" s="507">
        <v>21251</v>
      </c>
      <c r="D243" s="454">
        <v>21593</v>
      </c>
      <c r="E243" s="454">
        <v>21553</v>
      </c>
      <c r="F243" s="454">
        <v>21506</v>
      </c>
      <c r="G243" s="454">
        <v>21453</v>
      </c>
      <c r="H243" s="461">
        <v>21390</v>
      </c>
      <c r="I243" s="462">
        <v>21313</v>
      </c>
      <c r="J243" s="462">
        <v>21227</v>
      </c>
      <c r="K243" s="462">
        <v>21132</v>
      </c>
      <c r="L243" s="462">
        <v>21033</v>
      </c>
      <c r="M243" s="462">
        <f t="shared" si="3"/>
        <v>21033</v>
      </c>
    </row>
    <row r="244" spans="1:13" x14ac:dyDescent="0.2">
      <c r="A244" s="179" t="s">
        <v>263</v>
      </c>
      <c r="B244" s="460">
        <f>pohjatiedot!AO239</f>
        <v>2950</v>
      </c>
      <c r="C244" s="507">
        <v>2950</v>
      </c>
      <c r="D244" s="454">
        <v>2882</v>
      </c>
      <c r="E244" s="454">
        <v>2828</v>
      </c>
      <c r="F244" s="454">
        <v>2777</v>
      </c>
      <c r="G244" s="454">
        <v>2726</v>
      </c>
      <c r="H244" s="461">
        <v>2677</v>
      </c>
      <c r="I244" s="462">
        <v>2631</v>
      </c>
      <c r="J244" s="462">
        <v>2588</v>
      </c>
      <c r="K244" s="462">
        <v>2546</v>
      </c>
      <c r="L244" s="462">
        <v>2505</v>
      </c>
      <c r="M244" s="462">
        <f t="shared" si="3"/>
        <v>2505</v>
      </c>
    </row>
    <row r="245" spans="1:13" x14ac:dyDescent="0.2">
      <c r="A245" s="179" t="s">
        <v>264</v>
      </c>
      <c r="B245" s="460">
        <f>pohjatiedot!AO240</f>
        <v>21687</v>
      </c>
      <c r="C245" s="507">
        <v>21687</v>
      </c>
      <c r="D245" s="454">
        <v>21551</v>
      </c>
      <c r="E245" s="454">
        <v>21834</v>
      </c>
      <c r="F245" s="454">
        <v>22112</v>
      </c>
      <c r="G245" s="454">
        <v>22385</v>
      </c>
      <c r="H245" s="461">
        <v>22655</v>
      </c>
      <c r="I245" s="462">
        <v>22914</v>
      </c>
      <c r="J245" s="462">
        <v>23165</v>
      </c>
      <c r="K245" s="462">
        <v>23406</v>
      </c>
      <c r="L245" s="462">
        <v>23639</v>
      </c>
      <c r="M245" s="462">
        <f t="shared" si="3"/>
        <v>23639</v>
      </c>
    </row>
    <row r="246" spans="1:13" x14ac:dyDescent="0.2">
      <c r="A246" s="179" t="s">
        <v>265</v>
      </c>
      <c r="B246" s="460">
        <f>pohjatiedot!AO241</f>
        <v>6149</v>
      </c>
      <c r="C246" s="507">
        <v>6149</v>
      </c>
      <c r="D246" s="454">
        <v>6103</v>
      </c>
      <c r="E246" s="454">
        <v>6093</v>
      </c>
      <c r="F246" s="454">
        <v>6086</v>
      </c>
      <c r="G246" s="454">
        <v>6078</v>
      </c>
      <c r="H246" s="461">
        <v>6072</v>
      </c>
      <c r="I246" s="462">
        <v>6066</v>
      </c>
      <c r="J246" s="462">
        <v>6060</v>
      </c>
      <c r="K246" s="462">
        <v>6055</v>
      </c>
      <c r="L246" s="462">
        <v>6052</v>
      </c>
      <c r="M246" s="462">
        <f t="shared" si="3"/>
        <v>6052</v>
      </c>
    </row>
    <row r="247" spans="1:13" x14ac:dyDescent="0.2">
      <c r="A247" s="179" t="s">
        <v>266</v>
      </c>
      <c r="B247" s="460">
        <f>pohjatiedot!AO242</f>
        <v>8266</v>
      </c>
      <c r="C247" s="507">
        <v>8266</v>
      </c>
      <c r="D247" s="454">
        <v>8158</v>
      </c>
      <c r="E247" s="454">
        <v>8085</v>
      </c>
      <c r="F247" s="454">
        <v>8018</v>
      </c>
      <c r="G247" s="454">
        <v>7954</v>
      </c>
      <c r="H247" s="461">
        <v>7892</v>
      </c>
      <c r="I247" s="462">
        <v>7830</v>
      </c>
      <c r="J247" s="462">
        <v>7767</v>
      </c>
      <c r="K247" s="462">
        <v>7704</v>
      </c>
      <c r="L247" s="462">
        <v>7641</v>
      </c>
      <c r="M247" s="462">
        <f t="shared" si="3"/>
        <v>7641</v>
      </c>
    </row>
    <row r="248" spans="1:13" x14ac:dyDescent="0.2">
      <c r="A248" s="179" t="s">
        <v>267</v>
      </c>
      <c r="B248" s="460">
        <f>pohjatiedot!AO243</f>
        <v>2007</v>
      </c>
      <c r="C248" s="507">
        <v>2007</v>
      </c>
      <c r="D248" s="454">
        <v>1959</v>
      </c>
      <c r="E248" s="454">
        <v>1924</v>
      </c>
      <c r="F248" s="454">
        <v>1890</v>
      </c>
      <c r="G248" s="454">
        <v>1856</v>
      </c>
      <c r="H248" s="461">
        <v>1826</v>
      </c>
      <c r="I248" s="462">
        <v>1797</v>
      </c>
      <c r="J248" s="462">
        <v>1769</v>
      </c>
      <c r="K248" s="462">
        <v>1740</v>
      </c>
      <c r="L248" s="462">
        <v>1713</v>
      </c>
      <c r="M248" s="462">
        <f t="shared" si="3"/>
        <v>1713</v>
      </c>
    </row>
    <row r="249" spans="1:13" x14ac:dyDescent="0.2">
      <c r="A249" s="179" t="s">
        <v>268</v>
      </c>
      <c r="B249" s="460">
        <f>pohjatiedot!AO244</f>
        <v>8646</v>
      </c>
      <c r="C249" s="507">
        <v>8646</v>
      </c>
      <c r="D249" s="454">
        <v>8604</v>
      </c>
      <c r="E249" s="454">
        <v>8536</v>
      </c>
      <c r="F249" s="454">
        <v>8468</v>
      </c>
      <c r="G249" s="454">
        <v>8405</v>
      </c>
      <c r="H249" s="461">
        <v>8345</v>
      </c>
      <c r="I249" s="462">
        <v>8289</v>
      </c>
      <c r="J249" s="462">
        <v>8235</v>
      </c>
      <c r="K249" s="462">
        <v>8185</v>
      </c>
      <c r="L249" s="462">
        <v>8138</v>
      </c>
      <c r="M249" s="462">
        <f t="shared" si="3"/>
        <v>8138</v>
      </c>
    </row>
    <row r="250" spans="1:13" x14ac:dyDescent="0.2">
      <c r="A250" s="179" t="s">
        <v>269</v>
      </c>
      <c r="B250" s="460">
        <f>pohjatiedot!AO245</f>
        <v>3841</v>
      </c>
      <c r="C250" s="507">
        <v>3841</v>
      </c>
      <c r="D250" s="454">
        <v>3709</v>
      </c>
      <c r="E250" s="454">
        <v>3633</v>
      </c>
      <c r="F250" s="454">
        <v>3559</v>
      </c>
      <c r="G250" s="454">
        <v>3489</v>
      </c>
      <c r="H250" s="461">
        <v>3425</v>
      </c>
      <c r="I250" s="462">
        <v>3361</v>
      </c>
      <c r="J250" s="462">
        <v>3303</v>
      </c>
      <c r="K250" s="462">
        <v>3248</v>
      </c>
      <c r="L250" s="462">
        <v>3194</v>
      </c>
      <c r="M250" s="462">
        <f t="shared" si="3"/>
        <v>3194</v>
      </c>
    </row>
    <row r="251" spans="1:13" x14ac:dyDescent="0.2">
      <c r="A251" s="179" t="s">
        <v>270</v>
      </c>
      <c r="B251" s="460">
        <f>pohjatiedot!AO246</f>
        <v>10301</v>
      </c>
      <c r="C251" s="507">
        <v>10301</v>
      </c>
      <c r="D251" s="454">
        <v>10172</v>
      </c>
      <c r="E251" s="454">
        <v>10106</v>
      </c>
      <c r="F251" s="454">
        <v>10040</v>
      </c>
      <c r="G251" s="454">
        <v>9974</v>
      </c>
      <c r="H251" s="461">
        <v>9911</v>
      </c>
      <c r="I251" s="462">
        <v>9849</v>
      </c>
      <c r="J251" s="462">
        <v>9788</v>
      </c>
      <c r="K251" s="462">
        <v>9727</v>
      </c>
      <c r="L251" s="462">
        <v>9668</v>
      </c>
      <c r="M251" s="462">
        <f t="shared" si="3"/>
        <v>9668</v>
      </c>
    </row>
    <row r="252" spans="1:13" x14ac:dyDescent="0.2">
      <c r="A252" s="179" t="s">
        <v>271</v>
      </c>
      <c r="B252" s="460">
        <f>pohjatiedot!AO247</f>
        <v>2482</v>
      </c>
      <c r="C252" s="507">
        <v>2482</v>
      </c>
      <c r="D252" s="454">
        <v>2373</v>
      </c>
      <c r="E252" s="454">
        <v>2326</v>
      </c>
      <c r="F252" s="454">
        <v>2282</v>
      </c>
      <c r="G252" s="454">
        <v>2241</v>
      </c>
      <c r="H252" s="461">
        <v>2200</v>
      </c>
      <c r="I252" s="462">
        <v>2166</v>
      </c>
      <c r="J252" s="462">
        <v>2134</v>
      </c>
      <c r="K252" s="462">
        <v>2104</v>
      </c>
      <c r="L252" s="462">
        <v>2074</v>
      </c>
      <c r="M252" s="462">
        <f t="shared" si="3"/>
        <v>2074</v>
      </c>
    </row>
    <row r="253" spans="1:13" x14ac:dyDescent="0.2">
      <c r="A253" s="179" t="s">
        <v>272</v>
      </c>
      <c r="B253" s="460">
        <f>pohjatiedot!AO248</f>
        <v>7594</v>
      </c>
      <c r="C253" s="507">
        <v>7594</v>
      </c>
      <c r="D253" s="454">
        <v>7377</v>
      </c>
      <c r="E253" s="454">
        <v>7230</v>
      </c>
      <c r="F253" s="454">
        <v>7092</v>
      </c>
      <c r="G253" s="454">
        <v>6960</v>
      </c>
      <c r="H253" s="461">
        <v>6832</v>
      </c>
      <c r="I253" s="462">
        <v>6712</v>
      </c>
      <c r="J253" s="462">
        <v>6595</v>
      </c>
      <c r="K253" s="462">
        <v>6485</v>
      </c>
      <c r="L253" s="462">
        <v>6378</v>
      </c>
      <c r="M253" s="462">
        <f t="shared" si="3"/>
        <v>6378</v>
      </c>
    </row>
    <row r="254" spans="1:13" x14ac:dyDescent="0.2">
      <c r="A254" s="179" t="s">
        <v>273</v>
      </c>
      <c r="B254" s="460">
        <f>pohjatiedot!AO249</f>
        <v>6931</v>
      </c>
      <c r="C254" s="507">
        <v>6931</v>
      </c>
      <c r="D254" s="454">
        <v>6937</v>
      </c>
      <c r="E254" s="454">
        <v>6874</v>
      </c>
      <c r="F254" s="454">
        <v>6810</v>
      </c>
      <c r="G254" s="454">
        <v>6751</v>
      </c>
      <c r="H254" s="461">
        <v>6693</v>
      </c>
      <c r="I254" s="462">
        <v>6638</v>
      </c>
      <c r="J254" s="462">
        <v>6584</v>
      </c>
      <c r="K254" s="462">
        <v>6530</v>
      </c>
      <c r="L254" s="462">
        <v>6481</v>
      </c>
      <c r="M254" s="462">
        <f t="shared" si="3"/>
        <v>6481</v>
      </c>
    </row>
    <row r="255" spans="1:13" x14ac:dyDescent="0.2">
      <c r="A255" s="179" t="s">
        <v>274</v>
      </c>
      <c r="B255" s="460">
        <f>pohjatiedot!AO250</f>
        <v>3631</v>
      </c>
      <c r="C255" s="507">
        <v>3631</v>
      </c>
      <c r="D255" s="454">
        <v>3523</v>
      </c>
      <c r="E255" s="454">
        <v>3457</v>
      </c>
      <c r="F255" s="454">
        <v>3397</v>
      </c>
      <c r="G255" s="454">
        <v>3340</v>
      </c>
      <c r="H255" s="461">
        <v>3286</v>
      </c>
      <c r="I255" s="462">
        <v>3236</v>
      </c>
      <c r="J255" s="462">
        <v>3190</v>
      </c>
      <c r="K255" s="462">
        <v>3146</v>
      </c>
      <c r="L255" s="462">
        <v>3106</v>
      </c>
      <c r="M255" s="462">
        <f t="shared" si="3"/>
        <v>3106</v>
      </c>
    </row>
    <row r="256" spans="1:13" x14ac:dyDescent="0.2">
      <c r="A256" s="179" t="s">
        <v>275</v>
      </c>
      <c r="B256" s="460">
        <f>pohjatiedot!AO251</f>
        <v>6646</v>
      </c>
      <c r="C256" s="507">
        <v>6646</v>
      </c>
      <c r="D256" s="454">
        <v>6538</v>
      </c>
      <c r="E256" s="454">
        <v>6457</v>
      </c>
      <c r="F256" s="454">
        <v>6380</v>
      </c>
      <c r="G256" s="454">
        <v>6304</v>
      </c>
      <c r="H256" s="454">
        <v>6231</v>
      </c>
      <c r="I256" s="454">
        <v>6161</v>
      </c>
      <c r="J256" s="454">
        <v>6091</v>
      </c>
      <c r="K256" s="462">
        <v>6025</v>
      </c>
      <c r="L256" s="462">
        <v>5958</v>
      </c>
      <c r="M256" s="462">
        <f t="shared" si="3"/>
        <v>5958</v>
      </c>
    </row>
    <row r="257" spans="1:13" x14ac:dyDescent="0.2">
      <c r="A257" s="179" t="s">
        <v>276</v>
      </c>
      <c r="B257" s="460">
        <f>pohjatiedot!AO252</f>
        <v>4628</v>
      </c>
      <c r="C257" s="507">
        <v>4628</v>
      </c>
      <c r="D257" s="454">
        <v>4652</v>
      </c>
      <c r="E257" s="454">
        <v>4622</v>
      </c>
      <c r="F257" s="454">
        <v>4588</v>
      </c>
      <c r="G257" s="454">
        <v>4554</v>
      </c>
      <c r="H257" s="461">
        <v>4516</v>
      </c>
      <c r="I257" s="462">
        <v>4481</v>
      </c>
      <c r="J257" s="462">
        <v>4446</v>
      </c>
      <c r="K257" s="462">
        <v>4411</v>
      </c>
      <c r="L257" s="462">
        <v>4377</v>
      </c>
      <c r="M257" s="462">
        <f t="shared" si="3"/>
        <v>4377</v>
      </c>
    </row>
    <row r="258" spans="1:13" x14ac:dyDescent="0.2">
      <c r="A258" s="179" t="s">
        <v>277</v>
      </c>
      <c r="B258" s="460">
        <f>pohjatiedot!AO253</f>
        <v>3916</v>
      </c>
      <c r="C258" s="507">
        <v>3916</v>
      </c>
      <c r="D258" s="454">
        <v>3874</v>
      </c>
      <c r="E258" s="454">
        <v>3827</v>
      </c>
      <c r="F258" s="454">
        <v>3779</v>
      </c>
      <c r="G258" s="454">
        <v>3733</v>
      </c>
      <c r="H258" s="461">
        <v>3688</v>
      </c>
      <c r="I258" s="462">
        <v>3644</v>
      </c>
      <c r="J258" s="462">
        <v>3599</v>
      </c>
      <c r="K258" s="462">
        <v>3554</v>
      </c>
      <c r="L258" s="462">
        <v>3509</v>
      </c>
      <c r="M258" s="462">
        <f t="shared" si="3"/>
        <v>3509</v>
      </c>
    </row>
    <row r="259" spans="1:13" x14ac:dyDescent="0.2">
      <c r="A259" s="179" t="s">
        <v>278</v>
      </c>
      <c r="B259" s="460">
        <f>pohjatiedot!AO254</f>
        <v>1659</v>
      </c>
      <c r="C259" s="507">
        <v>1659</v>
      </c>
      <c r="D259" s="454">
        <v>1668</v>
      </c>
      <c r="E259" s="454">
        <v>1669</v>
      </c>
      <c r="F259" s="454">
        <v>1668</v>
      </c>
      <c r="G259" s="454">
        <v>1669</v>
      </c>
      <c r="H259" s="461">
        <v>1668</v>
      </c>
      <c r="I259" s="462">
        <v>1670</v>
      </c>
      <c r="J259" s="462">
        <v>1670</v>
      </c>
      <c r="K259" s="462">
        <v>1668</v>
      </c>
      <c r="L259" s="462">
        <v>1669</v>
      </c>
      <c r="M259" s="462">
        <f t="shared" si="3"/>
        <v>1669</v>
      </c>
    </row>
    <row r="260" spans="1:13" x14ac:dyDescent="0.2">
      <c r="A260" s="179" t="s">
        <v>279</v>
      </c>
      <c r="B260" s="460">
        <f>pohjatiedot!AO255</f>
        <v>6016</v>
      </c>
      <c r="C260" s="507">
        <v>6016</v>
      </c>
      <c r="D260" s="454">
        <v>5856</v>
      </c>
      <c r="E260" s="454">
        <v>5784</v>
      </c>
      <c r="F260" s="454">
        <v>5714</v>
      </c>
      <c r="G260" s="454">
        <v>5649</v>
      </c>
      <c r="H260" s="461">
        <v>5585</v>
      </c>
      <c r="I260" s="462">
        <v>5523</v>
      </c>
      <c r="J260" s="462">
        <v>5467</v>
      </c>
      <c r="K260" s="462">
        <v>5411</v>
      </c>
      <c r="L260" s="462">
        <v>5357</v>
      </c>
      <c r="M260" s="462">
        <f t="shared" si="3"/>
        <v>5357</v>
      </c>
    </row>
    <row r="261" spans="1:13" x14ac:dyDescent="0.2">
      <c r="A261" s="179" t="s">
        <v>280</v>
      </c>
      <c r="B261" s="460">
        <f>pohjatiedot!AO256</f>
        <v>241009</v>
      </c>
      <c r="C261" s="507">
        <v>241009</v>
      </c>
      <c r="D261" s="454">
        <v>243298</v>
      </c>
      <c r="E261" s="454">
        <v>245761</v>
      </c>
      <c r="F261" s="454">
        <v>248156</v>
      </c>
      <c r="G261" s="454">
        <v>250479</v>
      </c>
      <c r="H261" s="461">
        <v>252738</v>
      </c>
      <c r="I261" s="462">
        <v>254909</v>
      </c>
      <c r="J261" s="462">
        <v>257006</v>
      </c>
      <c r="K261" s="462">
        <v>259022</v>
      </c>
      <c r="L261" s="462">
        <v>260953</v>
      </c>
      <c r="M261" s="462">
        <f t="shared" si="3"/>
        <v>260953</v>
      </c>
    </row>
    <row r="262" spans="1:13" x14ac:dyDescent="0.2">
      <c r="A262" s="179" t="s">
        <v>281</v>
      </c>
      <c r="B262" s="460">
        <f>pohjatiedot!AO257</f>
        <v>1503</v>
      </c>
      <c r="C262" s="507">
        <v>1503</v>
      </c>
      <c r="D262" s="454">
        <v>1516</v>
      </c>
      <c r="E262" s="454">
        <v>1499</v>
      </c>
      <c r="F262" s="454">
        <v>1484</v>
      </c>
      <c r="G262" s="454">
        <v>1468</v>
      </c>
      <c r="H262" s="461">
        <v>1456</v>
      </c>
      <c r="I262" s="462">
        <v>1444</v>
      </c>
      <c r="J262" s="462">
        <v>1431</v>
      </c>
      <c r="K262" s="462">
        <v>1420</v>
      </c>
      <c r="L262" s="462">
        <v>1408</v>
      </c>
      <c r="M262" s="462">
        <f t="shared" si="3"/>
        <v>1408</v>
      </c>
    </row>
    <row r="263" spans="1:13" x14ac:dyDescent="0.2">
      <c r="A263" s="179" t="s">
        <v>282</v>
      </c>
      <c r="B263" s="460">
        <f>pohjatiedot!AO258</f>
        <v>2925</v>
      </c>
      <c r="C263" s="507">
        <v>2925</v>
      </c>
      <c r="D263" s="454">
        <v>2917</v>
      </c>
      <c r="E263" s="454">
        <v>2876</v>
      </c>
      <c r="F263" s="454">
        <v>2838</v>
      </c>
      <c r="G263" s="454">
        <v>2801</v>
      </c>
      <c r="H263" s="461">
        <v>2768</v>
      </c>
      <c r="I263" s="462">
        <v>2736</v>
      </c>
      <c r="J263" s="462">
        <v>2707</v>
      </c>
      <c r="K263" s="462">
        <v>2677</v>
      </c>
      <c r="L263" s="462">
        <v>2649</v>
      </c>
      <c r="M263" s="462">
        <f t="shared" si="3"/>
        <v>2649</v>
      </c>
    </row>
    <row r="264" spans="1:13" x14ac:dyDescent="0.2">
      <c r="A264" s="179" t="s">
        <v>283</v>
      </c>
      <c r="B264" s="460">
        <f>pohjatiedot!AO259</f>
        <v>4994</v>
      </c>
      <c r="C264" s="507">
        <v>4994</v>
      </c>
      <c r="D264" s="454">
        <v>4858</v>
      </c>
      <c r="E264" s="454">
        <v>4768</v>
      </c>
      <c r="F264" s="454">
        <v>4682</v>
      </c>
      <c r="G264" s="454">
        <v>4602</v>
      </c>
      <c r="H264" s="461">
        <v>4525</v>
      </c>
      <c r="I264" s="462">
        <v>4450</v>
      </c>
      <c r="J264" s="462">
        <v>4377</v>
      </c>
      <c r="K264" s="462">
        <v>4305</v>
      </c>
      <c r="L264" s="462">
        <v>4235</v>
      </c>
      <c r="M264" s="462">
        <f t="shared" si="3"/>
        <v>4235</v>
      </c>
    </row>
    <row r="265" spans="1:13" x14ac:dyDescent="0.2">
      <c r="A265" s="179" t="s">
        <v>284</v>
      </c>
      <c r="B265" s="460">
        <f>pohjatiedot!AO260</f>
        <v>4307</v>
      </c>
      <c r="C265" s="507">
        <v>4307</v>
      </c>
      <c r="D265" s="454">
        <v>4265</v>
      </c>
      <c r="E265" s="454">
        <v>4205</v>
      </c>
      <c r="F265" s="454">
        <v>4147</v>
      </c>
      <c r="G265" s="454">
        <v>4093</v>
      </c>
      <c r="H265" s="461">
        <v>4040</v>
      </c>
      <c r="I265" s="462">
        <v>3990</v>
      </c>
      <c r="J265" s="462">
        <v>3940</v>
      </c>
      <c r="K265" s="462">
        <v>3893</v>
      </c>
      <c r="L265" s="462">
        <v>3845</v>
      </c>
      <c r="M265" s="462">
        <f t="shared" ref="M265:M301" si="4">L265</f>
        <v>3845</v>
      </c>
    </row>
    <row r="266" spans="1:13" x14ac:dyDescent="0.2">
      <c r="A266" s="179" t="s">
        <v>285</v>
      </c>
      <c r="B266" s="460">
        <f>pohjatiedot!AO261</f>
        <v>2966</v>
      </c>
      <c r="C266" s="507">
        <v>2966</v>
      </c>
      <c r="D266" s="454">
        <v>2955</v>
      </c>
      <c r="E266" s="454">
        <v>2906</v>
      </c>
      <c r="F266" s="454">
        <v>2856</v>
      </c>
      <c r="G266" s="454">
        <v>2809</v>
      </c>
      <c r="H266" s="461">
        <v>2765</v>
      </c>
      <c r="I266" s="462">
        <v>2721</v>
      </c>
      <c r="J266" s="462">
        <v>2678</v>
      </c>
      <c r="K266" s="462">
        <v>2635</v>
      </c>
      <c r="L266" s="462">
        <v>2596</v>
      </c>
      <c r="M266" s="462">
        <f t="shared" si="4"/>
        <v>2596</v>
      </c>
    </row>
    <row r="267" spans="1:13" x14ac:dyDescent="0.2">
      <c r="A267" s="179" t="s">
        <v>286</v>
      </c>
      <c r="B267" s="460">
        <f>pohjatiedot!AO262</f>
        <v>2401</v>
      </c>
      <c r="C267" s="507">
        <v>2401</v>
      </c>
      <c r="D267" s="454">
        <v>2387</v>
      </c>
      <c r="E267" s="454">
        <v>2376</v>
      </c>
      <c r="F267" s="454">
        <v>2360</v>
      </c>
      <c r="G267" s="454">
        <v>2347</v>
      </c>
      <c r="H267" s="461">
        <v>2333</v>
      </c>
      <c r="I267" s="462">
        <v>2317</v>
      </c>
      <c r="J267" s="462">
        <v>2300</v>
      </c>
      <c r="K267" s="462">
        <v>2283</v>
      </c>
      <c r="L267" s="462">
        <v>2264</v>
      </c>
      <c r="M267" s="462">
        <f t="shared" si="4"/>
        <v>2264</v>
      </c>
    </row>
    <row r="268" spans="1:13" x14ac:dyDescent="0.2">
      <c r="A268" s="179" t="s">
        <v>287</v>
      </c>
      <c r="B268" s="460">
        <f>pohjatiedot!AO263</f>
        <v>21467</v>
      </c>
      <c r="C268" s="507">
        <v>21467</v>
      </c>
      <c r="D268" s="454">
        <v>21461</v>
      </c>
      <c r="E268" s="454">
        <v>21339</v>
      </c>
      <c r="F268" s="454">
        <v>21220</v>
      </c>
      <c r="G268" s="454">
        <v>21100</v>
      </c>
      <c r="H268" s="461">
        <v>20982</v>
      </c>
      <c r="I268" s="462">
        <v>20867</v>
      </c>
      <c r="J268" s="462">
        <v>20750</v>
      </c>
      <c r="K268" s="462">
        <v>20634</v>
      </c>
      <c r="L268" s="462">
        <v>20516</v>
      </c>
      <c r="M268" s="462">
        <f t="shared" si="4"/>
        <v>20516</v>
      </c>
    </row>
    <row r="269" spans="1:13" x14ac:dyDescent="0.2">
      <c r="A269" s="179" t="s">
        <v>288</v>
      </c>
      <c r="B269" s="460">
        <f>pohjatiedot!AO264</f>
        <v>194391</v>
      </c>
      <c r="C269" s="507">
        <v>194391</v>
      </c>
      <c r="D269" s="454">
        <v>195986</v>
      </c>
      <c r="E269" s="454">
        <v>197390</v>
      </c>
      <c r="F269" s="454">
        <v>198760</v>
      </c>
      <c r="G269" s="454">
        <v>200111</v>
      </c>
      <c r="H269" s="461">
        <v>201444</v>
      </c>
      <c r="I269" s="462">
        <v>202748</v>
      </c>
      <c r="J269" s="462">
        <v>204027</v>
      </c>
      <c r="K269" s="462">
        <v>205274</v>
      </c>
      <c r="L269" s="462">
        <v>206484</v>
      </c>
      <c r="M269" s="462">
        <f t="shared" si="4"/>
        <v>206484</v>
      </c>
    </row>
    <row r="270" spans="1:13" x14ac:dyDescent="0.2">
      <c r="A270" s="179" t="s">
        <v>289</v>
      </c>
      <c r="B270" s="460">
        <f>pohjatiedot!AO265</f>
        <v>2433</v>
      </c>
      <c r="C270" s="507">
        <v>2433</v>
      </c>
      <c r="D270" s="454">
        <v>2401</v>
      </c>
      <c r="E270" s="454">
        <v>2358</v>
      </c>
      <c r="F270" s="454">
        <v>2318</v>
      </c>
      <c r="G270" s="454">
        <v>2280</v>
      </c>
      <c r="H270" s="461">
        <v>2242</v>
      </c>
      <c r="I270" s="462">
        <v>2208</v>
      </c>
      <c r="J270" s="462">
        <v>2176</v>
      </c>
      <c r="K270" s="462">
        <v>2145</v>
      </c>
      <c r="L270" s="462">
        <v>2115</v>
      </c>
      <c r="M270" s="462">
        <f t="shared" si="4"/>
        <v>2115</v>
      </c>
    </row>
    <row r="271" spans="1:13" x14ac:dyDescent="0.2">
      <c r="A271" s="179" t="s">
        <v>290</v>
      </c>
      <c r="B271" s="460">
        <f>pohjatiedot!AO266</f>
        <v>38783</v>
      </c>
      <c r="C271" s="507">
        <v>38783</v>
      </c>
      <c r="D271" s="454">
        <v>38751</v>
      </c>
      <c r="E271" s="454">
        <v>38786</v>
      </c>
      <c r="F271" s="454">
        <v>38825</v>
      </c>
      <c r="G271" s="454">
        <v>38863</v>
      </c>
      <c r="H271" s="461">
        <v>38910</v>
      </c>
      <c r="I271" s="462">
        <v>38964</v>
      </c>
      <c r="J271" s="462">
        <v>39015</v>
      </c>
      <c r="K271" s="462">
        <v>39065</v>
      </c>
      <c r="L271" s="462">
        <v>39114</v>
      </c>
      <c r="M271" s="462">
        <f t="shared" si="4"/>
        <v>39114</v>
      </c>
    </row>
    <row r="272" spans="1:13" x14ac:dyDescent="0.2">
      <c r="A272" s="179" t="s">
        <v>291</v>
      </c>
      <c r="B272" s="460">
        <f>pohjatiedot!AO267</f>
        <v>6603</v>
      </c>
      <c r="C272" s="507">
        <v>6603</v>
      </c>
      <c r="D272" s="454">
        <v>6814</v>
      </c>
      <c r="E272" s="454">
        <v>6812</v>
      </c>
      <c r="F272" s="454">
        <v>6803</v>
      </c>
      <c r="G272" s="454">
        <v>6787</v>
      </c>
      <c r="H272" s="461">
        <v>6762</v>
      </c>
      <c r="I272" s="462">
        <v>6729</v>
      </c>
      <c r="J272" s="462">
        <v>6693</v>
      </c>
      <c r="K272" s="462">
        <v>6654</v>
      </c>
      <c r="L272" s="462">
        <v>6613</v>
      </c>
      <c r="M272" s="462">
        <f t="shared" si="4"/>
        <v>6613</v>
      </c>
    </row>
    <row r="273" spans="1:13" x14ac:dyDescent="0.2">
      <c r="A273" s="179" t="s">
        <v>292</v>
      </c>
      <c r="B273" s="460">
        <f>pohjatiedot!AO268</f>
        <v>12735</v>
      </c>
      <c r="C273" s="507">
        <v>12735</v>
      </c>
      <c r="D273" s="454">
        <v>12858</v>
      </c>
      <c r="E273" s="454">
        <v>12784</v>
      </c>
      <c r="F273" s="454">
        <v>12705</v>
      </c>
      <c r="G273" s="454">
        <v>12625</v>
      </c>
      <c r="H273" s="461">
        <v>12543</v>
      </c>
      <c r="I273" s="462">
        <v>12455</v>
      </c>
      <c r="J273" s="462">
        <v>12364</v>
      </c>
      <c r="K273" s="462">
        <v>12272</v>
      </c>
      <c r="L273" s="462">
        <v>12176</v>
      </c>
      <c r="M273" s="462">
        <f t="shared" si="4"/>
        <v>12176</v>
      </c>
    </row>
    <row r="274" spans="1:13" x14ac:dyDescent="0.2">
      <c r="A274" s="179" t="s">
        <v>293</v>
      </c>
      <c r="B274" s="460">
        <f>pohjatiedot!AO269</f>
        <v>4644</v>
      </c>
      <c r="C274" s="507">
        <v>4644</v>
      </c>
      <c r="D274" s="454">
        <v>4618</v>
      </c>
      <c r="E274" s="454">
        <v>4573</v>
      </c>
      <c r="F274" s="454">
        <v>4529</v>
      </c>
      <c r="G274" s="454">
        <v>4486</v>
      </c>
      <c r="H274" s="461">
        <v>4444</v>
      </c>
      <c r="I274" s="462">
        <v>4405</v>
      </c>
      <c r="J274" s="462">
        <v>4366</v>
      </c>
      <c r="K274" s="462">
        <v>4331</v>
      </c>
      <c r="L274" s="462">
        <v>4296</v>
      </c>
      <c r="M274" s="462">
        <f t="shared" si="4"/>
        <v>4296</v>
      </c>
    </row>
    <row r="275" spans="1:13" x14ac:dyDescent="0.2">
      <c r="A275" s="179" t="s">
        <v>294</v>
      </c>
      <c r="B275" s="460">
        <f>pohjatiedot!AO270</f>
        <v>2619</v>
      </c>
      <c r="C275" s="507">
        <v>2619</v>
      </c>
      <c r="D275" s="454">
        <v>2556</v>
      </c>
      <c r="E275" s="454">
        <v>2509</v>
      </c>
      <c r="F275" s="454">
        <v>2464</v>
      </c>
      <c r="G275" s="454">
        <v>2421</v>
      </c>
      <c r="H275" s="461">
        <v>2381</v>
      </c>
      <c r="I275" s="462">
        <v>2342</v>
      </c>
      <c r="J275" s="462">
        <v>2306</v>
      </c>
      <c r="K275" s="462">
        <v>2274</v>
      </c>
      <c r="L275" s="462">
        <v>2241</v>
      </c>
      <c r="M275" s="462">
        <f t="shared" si="4"/>
        <v>2241</v>
      </c>
    </row>
    <row r="276" spans="1:13" x14ac:dyDescent="0.2">
      <c r="A276" s="179" t="s">
        <v>295</v>
      </c>
      <c r="B276" s="460">
        <f>pohjatiedot!AO271</f>
        <v>1219</v>
      </c>
      <c r="C276" s="507">
        <v>1219</v>
      </c>
      <c r="D276" s="454">
        <v>1218</v>
      </c>
      <c r="E276" s="454">
        <v>1212</v>
      </c>
      <c r="F276" s="454">
        <v>1207</v>
      </c>
      <c r="G276" s="454">
        <v>1202</v>
      </c>
      <c r="H276" s="461">
        <v>1198</v>
      </c>
      <c r="I276" s="462">
        <v>1193</v>
      </c>
      <c r="J276" s="462">
        <v>1188</v>
      </c>
      <c r="K276" s="462">
        <v>1182</v>
      </c>
      <c r="L276" s="462">
        <v>1179</v>
      </c>
      <c r="M276" s="462">
        <f t="shared" si="4"/>
        <v>1179</v>
      </c>
    </row>
    <row r="277" spans="1:13" x14ac:dyDescent="0.2">
      <c r="A277" s="179" t="s">
        <v>296</v>
      </c>
      <c r="B277" s="460">
        <f>pohjatiedot!AO272</f>
        <v>3646</v>
      </c>
      <c r="C277" s="507">
        <v>3646</v>
      </c>
      <c r="D277" s="454">
        <v>3901</v>
      </c>
      <c r="E277" s="454">
        <v>3930</v>
      </c>
      <c r="F277" s="454">
        <v>3957</v>
      </c>
      <c r="G277" s="454">
        <v>3978</v>
      </c>
      <c r="H277" s="461">
        <v>3994</v>
      </c>
      <c r="I277" s="462">
        <v>4007</v>
      </c>
      <c r="J277" s="462">
        <v>4015</v>
      </c>
      <c r="K277" s="462">
        <v>4018</v>
      </c>
      <c r="L277" s="462">
        <v>4020</v>
      </c>
      <c r="M277" s="462">
        <f t="shared" si="4"/>
        <v>4020</v>
      </c>
    </row>
    <row r="278" spans="1:13" x14ac:dyDescent="0.2">
      <c r="A278" s="179" t="s">
        <v>297</v>
      </c>
      <c r="B278" s="460">
        <f>pohjatiedot!AO273</f>
        <v>7479</v>
      </c>
      <c r="C278" s="507">
        <v>7479</v>
      </c>
      <c r="D278" s="454">
        <v>7397</v>
      </c>
      <c r="E278" s="454">
        <v>7380</v>
      </c>
      <c r="F278" s="454">
        <v>7361</v>
      </c>
      <c r="G278" s="454">
        <v>7343</v>
      </c>
      <c r="H278" s="461">
        <v>7321</v>
      </c>
      <c r="I278" s="462">
        <v>7295</v>
      </c>
      <c r="J278" s="462">
        <v>7263</v>
      </c>
      <c r="K278" s="462">
        <v>7230</v>
      </c>
      <c r="L278" s="462">
        <v>7199</v>
      </c>
      <c r="M278" s="462">
        <f t="shared" si="4"/>
        <v>7199</v>
      </c>
    </row>
    <row r="279" spans="1:13" x14ac:dyDescent="0.2">
      <c r="A279" s="179" t="s">
        <v>298</v>
      </c>
      <c r="B279" s="460">
        <f>pohjatiedot!AO274</f>
        <v>15378</v>
      </c>
      <c r="C279" s="507">
        <v>15378</v>
      </c>
      <c r="D279" s="454">
        <v>15633</v>
      </c>
      <c r="E279" s="454">
        <v>15612</v>
      </c>
      <c r="F279" s="454">
        <v>15590</v>
      </c>
      <c r="G279" s="454">
        <v>15563</v>
      </c>
      <c r="H279" s="461">
        <v>15538</v>
      </c>
      <c r="I279" s="462">
        <v>15510</v>
      </c>
      <c r="J279" s="462">
        <v>15479</v>
      </c>
      <c r="K279" s="462">
        <v>15450</v>
      </c>
      <c r="L279" s="462">
        <v>15417</v>
      </c>
      <c r="M279" s="462">
        <f t="shared" si="4"/>
        <v>15417</v>
      </c>
    </row>
    <row r="280" spans="1:13" x14ac:dyDescent="0.2">
      <c r="A280" s="179" t="s">
        <v>25</v>
      </c>
      <c r="B280" s="460">
        <f>pohjatiedot!AO275</f>
        <v>2737</v>
      </c>
      <c r="C280" s="507">
        <v>2737</v>
      </c>
      <c r="D280" s="454">
        <v>2678</v>
      </c>
      <c r="E280" s="454">
        <v>2621</v>
      </c>
      <c r="F280" s="454">
        <v>2567</v>
      </c>
      <c r="G280" s="454">
        <v>2518</v>
      </c>
      <c r="H280" s="461">
        <v>2470</v>
      </c>
      <c r="I280" s="462">
        <v>2426</v>
      </c>
      <c r="J280" s="462">
        <v>2385</v>
      </c>
      <c r="K280" s="462">
        <v>2345</v>
      </c>
      <c r="L280" s="462">
        <v>2311</v>
      </c>
      <c r="M280" s="462">
        <f t="shared" si="4"/>
        <v>2311</v>
      </c>
    </row>
    <row r="281" spans="1:13" x14ac:dyDescent="0.2">
      <c r="A281" s="179" t="s">
        <v>299</v>
      </c>
      <c r="B281" s="460">
        <f>pohjatiedot!AO276</f>
        <v>67551</v>
      </c>
      <c r="C281" s="507">
        <v>67551</v>
      </c>
      <c r="D281" s="454">
        <v>68012</v>
      </c>
      <c r="E281" s="454">
        <v>68136</v>
      </c>
      <c r="F281" s="454">
        <v>68252</v>
      </c>
      <c r="G281" s="454">
        <v>68364</v>
      </c>
      <c r="H281" s="461">
        <v>68469</v>
      </c>
      <c r="I281" s="462">
        <v>68571</v>
      </c>
      <c r="J281" s="462">
        <v>68666</v>
      </c>
      <c r="K281" s="462">
        <v>68758</v>
      </c>
      <c r="L281" s="462">
        <v>68843</v>
      </c>
      <c r="M281" s="462">
        <f t="shared" si="4"/>
        <v>68843</v>
      </c>
    </row>
    <row r="282" spans="1:13" x14ac:dyDescent="0.2">
      <c r="A282" s="179" t="s">
        <v>300</v>
      </c>
      <c r="B282" s="460">
        <f>pohjatiedot!AO277</f>
        <v>20765</v>
      </c>
      <c r="C282" s="507">
        <v>20765</v>
      </c>
      <c r="D282" s="454">
        <v>21028</v>
      </c>
      <c r="E282" s="454">
        <v>20990</v>
      </c>
      <c r="F282" s="454">
        <v>20950</v>
      </c>
      <c r="G282" s="454">
        <v>20908</v>
      </c>
      <c r="H282" s="461">
        <v>20863</v>
      </c>
      <c r="I282" s="462">
        <v>20816</v>
      </c>
      <c r="J282" s="462">
        <v>20763</v>
      </c>
      <c r="K282" s="462">
        <v>20704</v>
      </c>
      <c r="L282" s="462">
        <v>20638</v>
      </c>
      <c r="M282" s="462">
        <f t="shared" si="4"/>
        <v>20638</v>
      </c>
    </row>
    <row r="283" spans="1:13" x14ac:dyDescent="0.2">
      <c r="A283" s="179" t="s">
        <v>301</v>
      </c>
      <c r="B283" s="460">
        <f>pohjatiedot!AO278</f>
        <v>237231</v>
      </c>
      <c r="C283" s="507">
        <v>237231</v>
      </c>
      <c r="D283" s="454">
        <v>238213</v>
      </c>
      <c r="E283" s="454">
        <v>241321</v>
      </c>
      <c r="F283" s="454">
        <v>244310</v>
      </c>
      <c r="G283" s="454">
        <v>247181</v>
      </c>
      <c r="H283" s="461">
        <v>249933</v>
      </c>
      <c r="I283" s="462">
        <v>252572</v>
      </c>
      <c r="J283" s="462">
        <v>255092</v>
      </c>
      <c r="K283" s="462">
        <v>257504</v>
      </c>
      <c r="L283" s="462">
        <v>259809</v>
      </c>
      <c r="M283" s="462">
        <f t="shared" si="4"/>
        <v>259809</v>
      </c>
    </row>
    <row r="284" spans="1:13" x14ac:dyDescent="0.2">
      <c r="A284" s="179" t="s">
        <v>302</v>
      </c>
      <c r="B284" s="460">
        <f>pohjatiedot!AO279</f>
        <v>20278</v>
      </c>
      <c r="C284" s="507">
        <v>20278</v>
      </c>
      <c r="D284" s="454">
        <v>20041</v>
      </c>
      <c r="E284" s="454">
        <v>19806</v>
      </c>
      <c r="F284" s="454">
        <v>19581</v>
      </c>
      <c r="G284" s="454">
        <v>19364</v>
      </c>
      <c r="H284" s="461">
        <v>19152</v>
      </c>
      <c r="I284" s="462">
        <v>18952</v>
      </c>
      <c r="J284" s="462">
        <v>18756</v>
      </c>
      <c r="K284" s="462">
        <v>18569</v>
      </c>
      <c r="L284" s="462">
        <v>18384</v>
      </c>
      <c r="M284" s="462">
        <f t="shared" si="4"/>
        <v>18384</v>
      </c>
    </row>
    <row r="285" spans="1:13" x14ac:dyDescent="0.2">
      <c r="A285" s="179" t="s">
        <v>303</v>
      </c>
      <c r="B285" s="460">
        <f>pohjatiedot!AO280</f>
        <v>2292</v>
      </c>
      <c r="C285" s="507">
        <v>2292</v>
      </c>
      <c r="D285" s="454">
        <v>2249</v>
      </c>
      <c r="E285" s="454">
        <v>2242</v>
      </c>
      <c r="F285" s="454">
        <v>2237</v>
      </c>
      <c r="G285" s="454">
        <v>2230</v>
      </c>
      <c r="H285" s="461">
        <v>2226</v>
      </c>
      <c r="I285" s="462">
        <v>2220</v>
      </c>
      <c r="J285" s="462">
        <v>2218</v>
      </c>
      <c r="K285" s="462">
        <v>2212</v>
      </c>
      <c r="L285" s="462">
        <v>2207</v>
      </c>
      <c r="M285" s="462">
        <f t="shared" si="4"/>
        <v>2207</v>
      </c>
    </row>
    <row r="286" spans="1:13" x14ac:dyDescent="0.2">
      <c r="A286" s="179" t="s">
        <v>304</v>
      </c>
      <c r="B286" s="460">
        <f>pohjatiedot!AO281</f>
        <v>1972</v>
      </c>
      <c r="C286" s="507">
        <v>1972</v>
      </c>
      <c r="D286" s="454">
        <v>1926</v>
      </c>
      <c r="E286" s="454">
        <v>1884</v>
      </c>
      <c r="F286" s="454">
        <v>1846</v>
      </c>
      <c r="G286" s="454">
        <v>1811</v>
      </c>
      <c r="H286" s="461">
        <v>1775</v>
      </c>
      <c r="I286" s="462">
        <v>1743</v>
      </c>
      <c r="J286" s="462">
        <v>1710</v>
      </c>
      <c r="K286" s="462">
        <v>1679</v>
      </c>
      <c r="L286" s="462">
        <v>1650</v>
      </c>
      <c r="M286" s="462">
        <f t="shared" si="4"/>
        <v>1650</v>
      </c>
    </row>
    <row r="287" spans="1:13" x14ac:dyDescent="0.2">
      <c r="A287" s="179" t="s">
        <v>305</v>
      </c>
      <c r="B287" s="460">
        <f>pohjatiedot!AO282</f>
        <v>4367</v>
      </c>
      <c r="C287" s="507">
        <v>4367</v>
      </c>
      <c r="D287" s="454">
        <v>4350</v>
      </c>
      <c r="E287" s="454">
        <v>4331</v>
      </c>
      <c r="F287" s="454">
        <v>4312</v>
      </c>
      <c r="G287" s="454">
        <v>4293</v>
      </c>
      <c r="H287" s="461">
        <v>4276</v>
      </c>
      <c r="I287" s="462">
        <v>4261</v>
      </c>
      <c r="J287" s="462">
        <v>4246</v>
      </c>
      <c r="K287" s="462">
        <v>4231</v>
      </c>
      <c r="L287" s="462">
        <v>4219</v>
      </c>
      <c r="M287" s="462">
        <f t="shared" si="4"/>
        <v>4219</v>
      </c>
    </row>
    <row r="288" spans="1:13" x14ac:dyDescent="0.2">
      <c r="A288" s="179" t="s">
        <v>306</v>
      </c>
      <c r="B288" s="460">
        <f>pohjatiedot!AO283</f>
        <v>3065</v>
      </c>
      <c r="C288" s="507">
        <v>3065</v>
      </c>
      <c r="D288" s="454">
        <v>3057</v>
      </c>
      <c r="E288" s="454">
        <v>3019</v>
      </c>
      <c r="F288" s="454">
        <v>2984</v>
      </c>
      <c r="G288" s="454">
        <v>2951</v>
      </c>
      <c r="H288" s="461">
        <v>2915</v>
      </c>
      <c r="I288" s="462">
        <v>2880</v>
      </c>
      <c r="J288" s="462">
        <v>2846</v>
      </c>
      <c r="K288" s="462">
        <v>2810</v>
      </c>
      <c r="L288" s="462">
        <v>2774</v>
      </c>
      <c r="M288" s="462">
        <f t="shared" si="4"/>
        <v>2774</v>
      </c>
    </row>
    <row r="289" spans="1:13" x14ac:dyDescent="0.2">
      <c r="A289" s="179" t="s">
        <v>307</v>
      </c>
      <c r="B289" s="460">
        <f>pohjatiedot!AO284</f>
        <v>3522</v>
      </c>
      <c r="C289" s="507">
        <v>3522</v>
      </c>
      <c r="D289" s="454">
        <v>3572</v>
      </c>
      <c r="E289" s="454">
        <v>3539</v>
      </c>
      <c r="F289" s="454">
        <v>3508</v>
      </c>
      <c r="G289" s="454">
        <v>3477</v>
      </c>
      <c r="H289" s="461">
        <v>3450</v>
      </c>
      <c r="I289" s="462">
        <v>3421</v>
      </c>
      <c r="J289" s="462">
        <v>3395</v>
      </c>
      <c r="K289" s="462">
        <v>3367</v>
      </c>
      <c r="L289" s="462">
        <v>3340</v>
      </c>
      <c r="M289" s="462">
        <f t="shared" si="4"/>
        <v>3340</v>
      </c>
    </row>
    <row r="290" spans="1:13" x14ac:dyDescent="0.2">
      <c r="A290" s="179" t="s">
        <v>308</v>
      </c>
      <c r="B290" s="460">
        <f>pohjatiedot!AO285</f>
        <v>29160</v>
      </c>
      <c r="C290" s="507">
        <v>29160</v>
      </c>
      <c r="D290" s="454">
        <v>29288</v>
      </c>
      <c r="E290" s="454">
        <v>29318</v>
      </c>
      <c r="F290" s="454">
        <v>29353</v>
      </c>
      <c r="G290" s="454">
        <v>29387</v>
      </c>
      <c r="H290" s="461">
        <v>29419</v>
      </c>
      <c r="I290" s="462">
        <v>29442</v>
      </c>
      <c r="J290" s="462">
        <v>29461</v>
      </c>
      <c r="K290" s="462">
        <v>29472</v>
      </c>
      <c r="L290" s="462">
        <v>29479</v>
      </c>
      <c r="M290" s="462">
        <f t="shared" si="4"/>
        <v>29479</v>
      </c>
    </row>
    <row r="291" spans="1:13" x14ac:dyDescent="0.2">
      <c r="A291" s="179" t="s">
        <v>309</v>
      </c>
      <c r="B291" s="460">
        <f>pohjatiedot!AO286</f>
        <v>6097</v>
      </c>
      <c r="C291" s="507">
        <v>6097</v>
      </c>
      <c r="D291" s="454">
        <v>5888</v>
      </c>
      <c r="E291" s="454">
        <v>5780</v>
      </c>
      <c r="F291" s="454">
        <v>5681</v>
      </c>
      <c r="G291" s="454">
        <v>5588</v>
      </c>
      <c r="H291" s="461">
        <v>5500</v>
      </c>
      <c r="I291" s="462">
        <v>5419</v>
      </c>
      <c r="J291" s="462">
        <v>5341</v>
      </c>
      <c r="K291" s="462">
        <v>5266</v>
      </c>
      <c r="L291" s="462">
        <v>5196</v>
      </c>
      <c r="M291" s="462">
        <f t="shared" si="4"/>
        <v>5196</v>
      </c>
    </row>
    <row r="292" spans="1:13" x14ac:dyDescent="0.2">
      <c r="A292" s="179" t="s">
        <v>310</v>
      </c>
      <c r="B292" s="460">
        <f>pohjatiedot!AO287</f>
        <v>2784</v>
      </c>
      <c r="C292" s="507">
        <v>2784</v>
      </c>
      <c r="D292" s="454">
        <v>2738</v>
      </c>
      <c r="E292" s="454">
        <v>2688</v>
      </c>
      <c r="F292" s="454">
        <v>2638</v>
      </c>
      <c r="G292" s="454">
        <v>2591</v>
      </c>
      <c r="H292" s="461">
        <v>2544</v>
      </c>
      <c r="I292" s="462">
        <v>2498</v>
      </c>
      <c r="J292" s="462">
        <v>2455</v>
      </c>
      <c r="K292" s="462">
        <v>2417</v>
      </c>
      <c r="L292" s="462">
        <v>2378</v>
      </c>
      <c r="M292" s="462">
        <f t="shared" si="4"/>
        <v>2378</v>
      </c>
    </row>
    <row r="293" spans="1:13" x14ac:dyDescent="0.2">
      <c r="A293" s="179" t="s">
        <v>311</v>
      </c>
      <c r="B293" s="460">
        <f>pohjatiedot!AO288</f>
        <v>3087</v>
      </c>
      <c r="C293" s="507">
        <v>3087</v>
      </c>
      <c r="D293" s="454">
        <v>2998</v>
      </c>
      <c r="E293" s="454">
        <v>2949</v>
      </c>
      <c r="F293" s="454">
        <v>2901</v>
      </c>
      <c r="G293" s="454">
        <v>2856</v>
      </c>
      <c r="H293" s="461">
        <v>2813</v>
      </c>
      <c r="I293" s="462">
        <v>2773</v>
      </c>
      <c r="J293" s="462">
        <v>2735</v>
      </c>
      <c r="K293" s="462">
        <v>2700</v>
      </c>
      <c r="L293" s="462">
        <v>2664</v>
      </c>
      <c r="M293" s="462">
        <f t="shared" si="4"/>
        <v>2664</v>
      </c>
    </row>
    <row r="294" spans="1:13" x14ac:dyDescent="0.2">
      <c r="A294" s="179" t="s">
        <v>312</v>
      </c>
      <c r="B294" s="460">
        <f>pohjatiedot!AO289</f>
        <v>6510</v>
      </c>
      <c r="C294" s="507">
        <v>6510</v>
      </c>
      <c r="D294" s="454">
        <v>6402</v>
      </c>
      <c r="E294" s="454">
        <v>6299</v>
      </c>
      <c r="F294" s="454">
        <v>6200</v>
      </c>
      <c r="G294" s="454">
        <v>6107</v>
      </c>
      <c r="H294" s="461">
        <v>6018</v>
      </c>
      <c r="I294" s="462">
        <v>5932</v>
      </c>
      <c r="J294" s="462">
        <v>5854</v>
      </c>
      <c r="K294" s="462">
        <v>5778</v>
      </c>
      <c r="L294" s="462">
        <v>5704</v>
      </c>
      <c r="M294" s="462">
        <f t="shared" si="4"/>
        <v>5704</v>
      </c>
    </row>
    <row r="295" spans="1:13" s="357" customFormat="1" x14ac:dyDescent="0.2">
      <c r="A295" s="352" t="s">
        <v>418</v>
      </c>
      <c r="B295" s="460">
        <f>pohjatiedot!AO290</f>
        <v>6388</v>
      </c>
      <c r="C295" s="460">
        <v>6388</v>
      </c>
      <c r="D295" s="456">
        <v>6540</v>
      </c>
      <c r="E295" s="456">
        <v>6520</v>
      </c>
      <c r="F295" s="456">
        <v>6500</v>
      </c>
      <c r="G295" s="456">
        <v>6478</v>
      </c>
      <c r="H295" s="461">
        <v>6457</v>
      </c>
      <c r="I295" s="462">
        <v>6432</v>
      </c>
      <c r="J295" s="462">
        <v>6404</v>
      </c>
      <c r="K295" s="462">
        <v>6370</v>
      </c>
      <c r="L295" s="462">
        <v>6337</v>
      </c>
      <c r="M295" s="462">
        <f t="shared" si="4"/>
        <v>6337</v>
      </c>
    </row>
    <row r="296" spans="1:13" x14ac:dyDescent="0.2">
      <c r="A296" s="179" t="s">
        <v>313</v>
      </c>
      <c r="B296" s="460">
        <f>pohjatiedot!AO291</f>
        <v>3890</v>
      </c>
      <c r="C296" s="507">
        <v>3890</v>
      </c>
      <c r="D296" s="454">
        <v>3763</v>
      </c>
      <c r="E296" s="454">
        <v>3693</v>
      </c>
      <c r="F296" s="454">
        <v>3629</v>
      </c>
      <c r="G296" s="454">
        <v>3570</v>
      </c>
      <c r="H296" s="461">
        <v>3515</v>
      </c>
      <c r="I296" s="462">
        <v>3463</v>
      </c>
      <c r="J296" s="462">
        <v>3412</v>
      </c>
      <c r="K296" s="462">
        <v>3364</v>
      </c>
      <c r="L296" s="462">
        <v>3317</v>
      </c>
      <c r="M296" s="462">
        <f t="shared" si="4"/>
        <v>3317</v>
      </c>
    </row>
    <row r="297" spans="1:13" x14ac:dyDescent="0.2">
      <c r="A297" s="179" t="s">
        <v>314</v>
      </c>
      <c r="B297" s="460">
        <f>pohjatiedot!AO292</f>
        <v>15304</v>
      </c>
      <c r="C297" s="507">
        <v>15304</v>
      </c>
      <c r="D297" s="454">
        <v>15341</v>
      </c>
      <c r="E297" s="454">
        <v>15365</v>
      </c>
      <c r="F297" s="454">
        <v>15376</v>
      </c>
      <c r="G297" s="454">
        <v>15379</v>
      </c>
      <c r="H297" s="461">
        <v>15382</v>
      </c>
      <c r="I297" s="462">
        <v>15378</v>
      </c>
      <c r="J297" s="462">
        <v>15366</v>
      </c>
      <c r="K297" s="462">
        <v>15349</v>
      </c>
      <c r="L297" s="462">
        <v>15328</v>
      </c>
      <c r="M297" s="462">
        <f t="shared" si="4"/>
        <v>15328</v>
      </c>
    </row>
    <row r="298" spans="1:13" x14ac:dyDescent="0.2">
      <c r="A298" s="179" t="s">
        <v>315</v>
      </c>
      <c r="B298" s="460">
        <f>pohjatiedot!AO293</f>
        <v>33352</v>
      </c>
      <c r="C298" s="507">
        <v>33352</v>
      </c>
      <c r="D298" s="454">
        <v>33499</v>
      </c>
      <c r="E298" s="454">
        <v>33627</v>
      </c>
      <c r="F298" s="454">
        <v>33735</v>
      </c>
      <c r="G298" s="454">
        <v>33832</v>
      </c>
      <c r="H298" s="461">
        <v>33919</v>
      </c>
      <c r="I298" s="462">
        <v>33995</v>
      </c>
      <c r="J298" s="462">
        <v>34054</v>
      </c>
      <c r="K298" s="462">
        <v>34100</v>
      </c>
      <c r="L298" s="462">
        <v>34134</v>
      </c>
      <c r="M298" s="462">
        <f t="shared" si="4"/>
        <v>34134</v>
      </c>
    </row>
    <row r="299" spans="1:13" x14ac:dyDescent="0.2">
      <c r="A299" s="179" t="s">
        <v>316</v>
      </c>
      <c r="B299" s="460">
        <f>pohjatiedot!AO294</f>
        <v>2314</v>
      </c>
      <c r="C299" s="507">
        <v>2314</v>
      </c>
      <c r="D299" s="454">
        <v>2286</v>
      </c>
      <c r="E299" s="454">
        <v>2268</v>
      </c>
      <c r="F299" s="454">
        <v>2251</v>
      </c>
      <c r="G299" s="454">
        <v>2233</v>
      </c>
      <c r="H299" s="461">
        <v>2216</v>
      </c>
      <c r="I299" s="462">
        <v>2202</v>
      </c>
      <c r="J299" s="462">
        <v>2191</v>
      </c>
      <c r="K299" s="462">
        <v>2178</v>
      </c>
      <c r="L299" s="462">
        <v>2166</v>
      </c>
      <c r="M299" s="462">
        <f t="shared" si="4"/>
        <v>2166</v>
      </c>
    </row>
    <row r="300" spans="1:13" x14ac:dyDescent="0.2">
      <c r="A300" s="179" t="s">
        <v>317</v>
      </c>
      <c r="B300" s="460">
        <f>pohjatiedot!AO295</f>
        <v>5522</v>
      </c>
      <c r="C300" s="507">
        <v>5522</v>
      </c>
      <c r="D300" s="454">
        <v>5369</v>
      </c>
      <c r="E300" s="454">
        <v>5270</v>
      </c>
      <c r="F300" s="454">
        <v>5175</v>
      </c>
      <c r="G300" s="454">
        <v>5085</v>
      </c>
      <c r="H300" s="461">
        <v>5001</v>
      </c>
      <c r="I300" s="462">
        <v>4919</v>
      </c>
      <c r="J300" s="462">
        <v>4838</v>
      </c>
      <c r="K300" s="462">
        <v>4765</v>
      </c>
      <c r="L300" s="462">
        <v>4696</v>
      </c>
      <c r="M300" s="462">
        <f t="shared" si="4"/>
        <v>4696</v>
      </c>
    </row>
    <row r="301" spans="1:13" x14ac:dyDescent="0.2">
      <c r="A301" s="179" t="s">
        <v>318</v>
      </c>
      <c r="B301" s="460">
        <f>pohjatiedot!AO296</f>
        <v>18577</v>
      </c>
      <c r="C301" s="507">
        <v>18577</v>
      </c>
      <c r="D301" s="454">
        <v>18065</v>
      </c>
      <c r="E301" s="454">
        <v>17819</v>
      </c>
      <c r="F301" s="454">
        <v>17575</v>
      </c>
      <c r="G301" s="454">
        <v>17339</v>
      </c>
      <c r="H301" s="461">
        <v>17106</v>
      </c>
      <c r="I301" s="462">
        <v>16877</v>
      </c>
      <c r="J301" s="462">
        <v>16656</v>
      </c>
      <c r="K301" s="462">
        <v>16438</v>
      </c>
      <c r="L301" s="462">
        <v>16226</v>
      </c>
      <c r="M301" s="462">
        <f t="shared" si="4"/>
        <v>16226</v>
      </c>
    </row>
    <row r="302" spans="1:13" x14ac:dyDescent="0.2">
      <c r="J302" s="348"/>
    </row>
    <row r="303" spans="1:13" x14ac:dyDescent="0.2">
      <c r="J303" s="348"/>
    </row>
    <row r="304" spans="1:13" x14ac:dyDescent="0.2">
      <c r="A304" s="179"/>
      <c r="B304" s="210"/>
      <c r="C304" s="210"/>
      <c r="D304" s="210"/>
      <c r="F304" s="210"/>
      <c r="G304" s="210"/>
      <c r="H304" s="348"/>
      <c r="I304" s="348"/>
      <c r="J304" s="348"/>
    </row>
  </sheetData>
  <sortState ref="A8:L309">
    <sortCondition ref="A8:A309"/>
  </sortState>
  <phoneticPr fontId="1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2</vt:i4>
      </vt:variant>
    </vt:vector>
  </HeadingPairs>
  <TitlesOfParts>
    <vt:vector size="6" baseType="lpstr">
      <vt:lpstr>selite</vt:lpstr>
      <vt:lpstr>KEHIKKO</vt:lpstr>
      <vt:lpstr>pohjatiedot</vt:lpstr>
      <vt:lpstr>väestöennuste</vt:lpstr>
      <vt:lpstr>KEHIKKO!Tulostusalue</vt:lpstr>
      <vt:lpstr>selite!Tulostusalue</vt:lpstr>
    </vt:vector>
  </TitlesOfParts>
  <Company>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Kunnan talouden laskentakehikko</dc:title>
  <dc:creator>Ville Salonen</dc:creator>
  <cp:lastModifiedBy>Lappalainen Vesa (VM)</cp:lastModifiedBy>
  <cp:lastPrinted>2019-06-07T10:02:00Z</cp:lastPrinted>
  <dcterms:created xsi:type="dcterms:W3CDTF">2007-06-13T09:05:00Z</dcterms:created>
  <dcterms:modified xsi:type="dcterms:W3CDTF">2021-06-08T10:20:34Z</dcterms:modified>
</cp:coreProperties>
</file>