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_tiedostot\VM\KAO\Kuntatalous\Suunnittelukehikko\Kehikko 2024\"/>
    </mc:Choice>
  </mc:AlternateContent>
  <bookViews>
    <workbookView xWindow="0" yWindow="0" windowWidth="19200" windowHeight="7050" activeTab="1"/>
  </bookViews>
  <sheets>
    <sheet name="selite" sheetId="8" r:id="rId1"/>
    <sheet name="KEHIKKO" sheetId="3" r:id="rId2"/>
    <sheet name="pohjatiedot" sheetId="5" r:id="rId3"/>
    <sheet name="väestöennuste" sheetId="6" r:id="rId4"/>
  </sheets>
  <definedNames>
    <definedName name="_xlnm.Print_Area" localSheetId="1">KEHIKKO!$A$1:$P$130</definedName>
    <definedName name="_xlnm.Print_Area" localSheetId="0">selite!$A$1:$N$67</definedName>
  </definedNames>
  <calcPr calcId="162913"/>
</workbook>
</file>

<file path=xl/calcChain.xml><?xml version="1.0" encoding="utf-8"?>
<calcChain xmlns="http://schemas.openxmlformats.org/spreadsheetml/2006/main">
  <c r="C146" i="3" l="1"/>
  <c r="D146" i="3"/>
  <c r="E146" i="3"/>
  <c r="F146" i="3"/>
  <c r="G146" i="3"/>
  <c r="H146" i="3"/>
  <c r="I146" i="3"/>
  <c r="J146" i="3"/>
  <c r="K146" i="3"/>
  <c r="L146" i="3"/>
  <c r="M146" i="3"/>
  <c r="B146" i="3"/>
  <c r="CC4" i="5" l="1"/>
  <c r="CC5" i="5"/>
  <c r="CC6" i="5"/>
  <c r="CC7" i="5"/>
  <c r="CC8" i="5"/>
  <c r="CC9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C27" i="5"/>
  <c r="CC28" i="5"/>
  <c r="CC29" i="5"/>
  <c r="CC30" i="5"/>
  <c r="CC31" i="5"/>
  <c r="CC32" i="5"/>
  <c r="CC33" i="5"/>
  <c r="CC34" i="5"/>
  <c r="CC35" i="5"/>
  <c r="CC36" i="5"/>
  <c r="CC37" i="5"/>
  <c r="CC38" i="5"/>
  <c r="CC39" i="5"/>
  <c r="CC40" i="5"/>
  <c r="CC41" i="5"/>
  <c r="CC42" i="5"/>
  <c r="CC43" i="5"/>
  <c r="CC44" i="5"/>
  <c r="CC45" i="5"/>
  <c r="CC46" i="5"/>
  <c r="CC47" i="5"/>
  <c r="CC48" i="5"/>
  <c r="CC49" i="5"/>
  <c r="CC50" i="5"/>
  <c r="CC51" i="5"/>
  <c r="CC52" i="5"/>
  <c r="CC53" i="5"/>
  <c r="CC54" i="5"/>
  <c r="CC55" i="5"/>
  <c r="CC56" i="5"/>
  <c r="CC57" i="5"/>
  <c r="CC58" i="5"/>
  <c r="CC59" i="5"/>
  <c r="CC60" i="5"/>
  <c r="CC61" i="5"/>
  <c r="CC62" i="5"/>
  <c r="CC63" i="5"/>
  <c r="CC64" i="5"/>
  <c r="CC65" i="5"/>
  <c r="CC66" i="5"/>
  <c r="CC67" i="5"/>
  <c r="CC68" i="5"/>
  <c r="CC69" i="5"/>
  <c r="CC70" i="5"/>
  <c r="CC71" i="5"/>
  <c r="CC72" i="5"/>
  <c r="CC73" i="5"/>
  <c r="CC74" i="5"/>
  <c r="CC75" i="5"/>
  <c r="CC76" i="5"/>
  <c r="CC77" i="5"/>
  <c r="CC78" i="5"/>
  <c r="CC79" i="5"/>
  <c r="CC80" i="5"/>
  <c r="CC81" i="5"/>
  <c r="CC82" i="5"/>
  <c r="CC83" i="5"/>
  <c r="CC84" i="5"/>
  <c r="CC85" i="5"/>
  <c r="CC86" i="5"/>
  <c r="CC87" i="5"/>
  <c r="CC88" i="5"/>
  <c r="CC89" i="5"/>
  <c r="CC90" i="5"/>
  <c r="CC91" i="5"/>
  <c r="CC92" i="5"/>
  <c r="CC93" i="5"/>
  <c r="CC94" i="5"/>
  <c r="CC95" i="5"/>
  <c r="CC96" i="5"/>
  <c r="CC97" i="5"/>
  <c r="CC98" i="5"/>
  <c r="CC99" i="5"/>
  <c r="CC100" i="5"/>
  <c r="CC101" i="5"/>
  <c r="CC102" i="5"/>
  <c r="CC103" i="5"/>
  <c r="CC104" i="5"/>
  <c r="CC105" i="5"/>
  <c r="CC106" i="5"/>
  <c r="CC107" i="5"/>
  <c r="CC108" i="5"/>
  <c r="CC109" i="5"/>
  <c r="CC110" i="5"/>
  <c r="CC111" i="5"/>
  <c r="CC112" i="5"/>
  <c r="CC113" i="5"/>
  <c r="CC114" i="5"/>
  <c r="CC115" i="5"/>
  <c r="CC116" i="5"/>
  <c r="CC117" i="5"/>
  <c r="CC118" i="5"/>
  <c r="CC119" i="5"/>
  <c r="CC120" i="5"/>
  <c r="CC121" i="5"/>
  <c r="CC122" i="5"/>
  <c r="CC123" i="5"/>
  <c r="CC124" i="5"/>
  <c r="CC125" i="5"/>
  <c r="CC126" i="5"/>
  <c r="CC127" i="5"/>
  <c r="CC128" i="5"/>
  <c r="CC129" i="5"/>
  <c r="CC130" i="5"/>
  <c r="CC131" i="5"/>
  <c r="CC132" i="5"/>
  <c r="CC133" i="5"/>
  <c r="CC134" i="5"/>
  <c r="CC135" i="5"/>
  <c r="CC136" i="5"/>
  <c r="CC137" i="5"/>
  <c r="CC138" i="5"/>
  <c r="CC139" i="5"/>
  <c r="CC140" i="5"/>
  <c r="CC141" i="5"/>
  <c r="CC142" i="5"/>
  <c r="CC143" i="5"/>
  <c r="CC144" i="5"/>
  <c r="CC145" i="5"/>
  <c r="CC146" i="5"/>
  <c r="CC147" i="5"/>
  <c r="CC148" i="5"/>
  <c r="CC149" i="5"/>
  <c r="CC150" i="5"/>
  <c r="CC151" i="5"/>
  <c r="CC152" i="5"/>
  <c r="CC153" i="5"/>
  <c r="CC154" i="5"/>
  <c r="CC155" i="5"/>
  <c r="CC156" i="5"/>
  <c r="CC157" i="5"/>
  <c r="CC158" i="5"/>
  <c r="CC159" i="5"/>
  <c r="CC160" i="5"/>
  <c r="CC161" i="5"/>
  <c r="CC162" i="5"/>
  <c r="CC163" i="5"/>
  <c r="CC164" i="5"/>
  <c r="CC165" i="5"/>
  <c r="CC166" i="5"/>
  <c r="CC167" i="5"/>
  <c r="CC168" i="5"/>
  <c r="CC169" i="5"/>
  <c r="CC170" i="5"/>
  <c r="CC171" i="5"/>
  <c r="CC172" i="5"/>
  <c r="CC173" i="5"/>
  <c r="CC174" i="5"/>
  <c r="CC175" i="5"/>
  <c r="CC176" i="5"/>
  <c r="CC177" i="5"/>
  <c r="CC178" i="5"/>
  <c r="CC179" i="5"/>
  <c r="CC180" i="5"/>
  <c r="CC181" i="5"/>
  <c r="CC182" i="5"/>
  <c r="CC183" i="5"/>
  <c r="CC184" i="5"/>
  <c r="CC185" i="5"/>
  <c r="CC186" i="5"/>
  <c r="CC187" i="5"/>
  <c r="CC188" i="5"/>
  <c r="CC189" i="5"/>
  <c r="CC190" i="5"/>
  <c r="CC191" i="5"/>
  <c r="CC192" i="5"/>
  <c r="CC193" i="5"/>
  <c r="CC194" i="5"/>
  <c r="CC195" i="5"/>
  <c r="CC196" i="5"/>
  <c r="CC197" i="5"/>
  <c r="CC198" i="5"/>
  <c r="CC199" i="5"/>
  <c r="CC200" i="5"/>
  <c r="CC201" i="5"/>
  <c r="CC202" i="5"/>
  <c r="CC203" i="5"/>
  <c r="CC204" i="5"/>
  <c r="CC205" i="5"/>
  <c r="CC206" i="5"/>
  <c r="CC207" i="5"/>
  <c r="CC208" i="5"/>
  <c r="CC209" i="5"/>
  <c r="CC210" i="5"/>
  <c r="CC211" i="5"/>
  <c r="CC212" i="5"/>
  <c r="CC213" i="5"/>
  <c r="CC214" i="5"/>
  <c r="CC215" i="5"/>
  <c r="CC216" i="5"/>
  <c r="CC217" i="5"/>
  <c r="CC218" i="5"/>
  <c r="CC219" i="5"/>
  <c r="CC220" i="5"/>
  <c r="CC221" i="5"/>
  <c r="CC222" i="5"/>
  <c r="CC223" i="5"/>
  <c r="CC224" i="5"/>
  <c r="CC225" i="5"/>
  <c r="CC226" i="5"/>
  <c r="CC227" i="5"/>
  <c r="CC228" i="5"/>
  <c r="CC229" i="5"/>
  <c r="CC230" i="5"/>
  <c r="CC231" i="5"/>
  <c r="CC232" i="5"/>
  <c r="CC233" i="5"/>
  <c r="CC234" i="5"/>
  <c r="CC235" i="5"/>
  <c r="CC236" i="5"/>
  <c r="CC237" i="5"/>
  <c r="CC238" i="5"/>
  <c r="CC239" i="5"/>
  <c r="CC240" i="5"/>
  <c r="CC241" i="5"/>
  <c r="CC242" i="5"/>
  <c r="CC243" i="5"/>
  <c r="CC244" i="5"/>
  <c r="CC245" i="5"/>
  <c r="CC246" i="5"/>
  <c r="CC247" i="5"/>
  <c r="CC248" i="5"/>
  <c r="CC249" i="5"/>
  <c r="CC250" i="5"/>
  <c r="CC251" i="5"/>
  <c r="CC252" i="5"/>
  <c r="CC253" i="5"/>
  <c r="CC254" i="5"/>
  <c r="CC255" i="5"/>
  <c r="CC256" i="5"/>
  <c r="CC257" i="5"/>
  <c r="CC258" i="5"/>
  <c r="CC259" i="5"/>
  <c r="CC260" i="5"/>
  <c r="CC261" i="5"/>
  <c r="CC262" i="5"/>
  <c r="CC263" i="5"/>
  <c r="CC264" i="5"/>
  <c r="CC265" i="5"/>
  <c r="CC266" i="5"/>
  <c r="CC267" i="5"/>
  <c r="CC268" i="5"/>
  <c r="CC269" i="5"/>
  <c r="CC270" i="5"/>
  <c r="CC271" i="5"/>
  <c r="CC272" i="5"/>
  <c r="CC273" i="5"/>
  <c r="CC274" i="5"/>
  <c r="CC275" i="5"/>
  <c r="CC276" i="5"/>
  <c r="CC277" i="5"/>
  <c r="CC278" i="5"/>
  <c r="CC279" i="5"/>
  <c r="CC280" i="5"/>
  <c r="CC281" i="5"/>
  <c r="CC282" i="5"/>
  <c r="CC283" i="5"/>
  <c r="CC284" i="5"/>
  <c r="CC285" i="5"/>
  <c r="CC286" i="5"/>
  <c r="CC287" i="5"/>
  <c r="CC288" i="5"/>
  <c r="CC289" i="5"/>
  <c r="CC290" i="5"/>
  <c r="CC291" i="5"/>
  <c r="CC292" i="5"/>
  <c r="CC293" i="5"/>
  <c r="CC294" i="5"/>
  <c r="CC295" i="5"/>
  <c r="CC296" i="5"/>
  <c r="CC3" i="5"/>
  <c r="O9" i="6" l="1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8" i="6"/>
  <c r="S9" i="6" l="1"/>
  <c r="T9" i="6"/>
  <c r="U9" i="6"/>
  <c r="V9" i="6"/>
  <c r="W9" i="6"/>
  <c r="X9" i="6"/>
  <c r="Y9" i="6"/>
  <c r="Z9" i="6"/>
  <c r="S10" i="6"/>
  <c r="T10" i="6"/>
  <c r="U10" i="6"/>
  <c r="V10" i="6"/>
  <c r="W10" i="6"/>
  <c r="X10" i="6"/>
  <c r="Y10" i="6"/>
  <c r="Z10" i="6"/>
  <c r="S11" i="6"/>
  <c r="T11" i="6"/>
  <c r="U11" i="6"/>
  <c r="V11" i="6"/>
  <c r="W11" i="6"/>
  <c r="X11" i="6"/>
  <c r="Y11" i="6"/>
  <c r="Z11" i="6"/>
  <c r="S12" i="6"/>
  <c r="T12" i="6"/>
  <c r="U12" i="6"/>
  <c r="V12" i="6"/>
  <c r="W12" i="6"/>
  <c r="X12" i="6"/>
  <c r="Y12" i="6"/>
  <c r="Z12" i="6"/>
  <c r="S13" i="6"/>
  <c r="T13" i="6"/>
  <c r="U13" i="6"/>
  <c r="V13" i="6"/>
  <c r="W13" i="6"/>
  <c r="X13" i="6"/>
  <c r="Y13" i="6"/>
  <c r="Z13" i="6"/>
  <c r="S14" i="6"/>
  <c r="T14" i="6"/>
  <c r="U14" i="6"/>
  <c r="V14" i="6"/>
  <c r="W14" i="6"/>
  <c r="X14" i="6"/>
  <c r="Y14" i="6"/>
  <c r="Z14" i="6"/>
  <c r="S15" i="6"/>
  <c r="T15" i="6"/>
  <c r="U15" i="6"/>
  <c r="V15" i="6"/>
  <c r="W15" i="6"/>
  <c r="X15" i="6"/>
  <c r="Y15" i="6"/>
  <c r="Z15" i="6"/>
  <c r="S16" i="6"/>
  <c r="T16" i="6"/>
  <c r="U16" i="6"/>
  <c r="V16" i="6"/>
  <c r="W16" i="6"/>
  <c r="X16" i="6"/>
  <c r="Y16" i="6"/>
  <c r="Z16" i="6"/>
  <c r="S17" i="6"/>
  <c r="T17" i="6"/>
  <c r="U17" i="6"/>
  <c r="V17" i="6"/>
  <c r="W17" i="6"/>
  <c r="X17" i="6"/>
  <c r="Y17" i="6"/>
  <c r="Z17" i="6"/>
  <c r="S18" i="6"/>
  <c r="T18" i="6"/>
  <c r="U18" i="6"/>
  <c r="V18" i="6"/>
  <c r="W18" i="6"/>
  <c r="X18" i="6"/>
  <c r="Y18" i="6"/>
  <c r="Z18" i="6"/>
  <c r="S19" i="6"/>
  <c r="T19" i="6"/>
  <c r="U19" i="6"/>
  <c r="V19" i="6"/>
  <c r="W19" i="6"/>
  <c r="X19" i="6"/>
  <c r="Y19" i="6"/>
  <c r="Z19" i="6"/>
  <c r="S20" i="6"/>
  <c r="T20" i="6"/>
  <c r="U20" i="6"/>
  <c r="V20" i="6"/>
  <c r="W20" i="6"/>
  <c r="X20" i="6"/>
  <c r="Y20" i="6"/>
  <c r="Z20" i="6"/>
  <c r="S21" i="6"/>
  <c r="T21" i="6"/>
  <c r="U21" i="6"/>
  <c r="V21" i="6"/>
  <c r="W21" i="6"/>
  <c r="X21" i="6"/>
  <c r="Y21" i="6"/>
  <c r="Z21" i="6"/>
  <c r="S22" i="6"/>
  <c r="T22" i="6"/>
  <c r="U22" i="6"/>
  <c r="V22" i="6"/>
  <c r="W22" i="6"/>
  <c r="X22" i="6"/>
  <c r="Y22" i="6"/>
  <c r="Z22" i="6"/>
  <c r="S23" i="6"/>
  <c r="T23" i="6"/>
  <c r="U23" i="6"/>
  <c r="V23" i="6"/>
  <c r="W23" i="6"/>
  <c r="X23" i="6"/>
  <c r="Y23" i="6"/>
  <c r="Z23" i="6"/>
  <c r="S24" i="6"/>
  <c r="T24" i="6"/>
  <c r="U24" i="6"/>
  <c r="V24" i="6"/>
  <c r="W24" i="6"/>
  <c r="X24" i="6"/>
  <c r="Y24" i="6"/>
  <c r="Z24" i="6"/>
  <c r="S25" i="6"/>
  <c r="T25" i="6"/>
  <c r="U25" i="6"/>
  <c r="V25" i="6"/>
  <c r="W25" i="6"/>
  <c r="X25" i="6"/>
  <c r="Y25" i="6"/>
  <c r="Z25" i="6"/>
  <c r="S26" i="6"/>
  <c r="T26" i="6"/>
  <c r="U26" i="6"/>
  <c r="V26" i="6"/>
  <c r="W26" i="6"/>
  <c r="X26" i="6"/>
  <c r="Y26" i="6"/>
  <c r="Z26" i="6"/>
  <c r="S27" i="6"/>
  <c r="T27" i="6"/>
  <c r="U27" i="6"/>
  <c r="V27" i="6"/>
  <c r="W27" i="6"/>
  <c r="X27" i="6"/>
  <c r="Y27" i="6"/>
  <c r="Z27" i="6"/>
  <c r="S28" i="6"/>
  <c r="T28" i="6"/>
  <c r="U28" i="6"/>
  <c r="V28" i="6"/>
  <c r="W28" i="6"/>
  <c r="X28" i="6"/>
  <c r="Y28" i="6"/>
  <c r="Z28" i="6"/>
  <c r="S29" i="6"/>
  <c r="T29" i="6"/>
  <c r="U29" i="6"/>
  <c r="V29" i="6"/>
  <c r="W29" i="6"/>
  <c r="X29" i="6"/>
  <c r="Y29" i="6"/>
  <c r="Z29" i="6"/>
  <c r="S30" i="6"/>
  <c r="T30" i="6"/>
  <c r="U30" i="6"/>
  <c r="V30" i="6"/>
  <c r="W30" i="6"/>
  <c r="X30" i="6"/>
  <c r="Y30" i="6"/>
  <c r="Z30" i="6"/>
  <c r="S31" i="6"/>
  <c r="T31" i="6"/>
  <c r="U31" i="6"/>
  <c r="V31" i="6"/>
  <c r="W31" i="6"/>
  <c r="X31" i="6"/>
  <c r="Y31" i="6"/>
  <c r="Z31" i="6"/>
  <c r="S32" i="6"/>
  <c r="T32" i="6"/>
  <c r="U32" i="6"/>
  <c r="V32" i="6"/>
  <c r="W32" i="6"/>
  <c r="X32" i="6"/>
  <c r="Y32" i="6"/>
  <c r="Z32" i="6"/>
  <c r="S33" i="6"/>
  <c r="T33" i="6"/>
  <c r="U33" i="6"/>
  <c r="V33" i="6"/>
  <c r="W33" i="6"/>
  <c r="X33" i="6"/>
  <c r="Y33" i="6"/>
  <c r="Z33" i="6"/>
  <c r="S34" i="6"/>
  <c r="T34" i="6"/>
  <c r="U34" i="6"/>
  <c r="V34" i="6"/>
  <c r="W34" i="6"/>
  <c r="X34" i="6"/>
  <c r="Y34" i="6"/>
  <c r="Z34" i="6"/>
  <c r="S35" i="6"/>
  <c r="T35" i="6"/>
  <c r="U35" i="6"/>
  <c r="V35" i="6"/>
  <c r="W35" i="6"/>
  <c r="X35" i="6"/>
  <c r="Y35" i="6"/>
  <c r="Z35" i="6"/>
  <c r="S36" i="6"/>
  <c r="T36" i="6"/>
  <c r="U36" i="6"/>
  <c r="V36" i="6"/>
  <c r="W36" i="6"/>
  <c r="X36" i="6"/>
  <c r="Y36" i="6"/>
  <c r="Z36" i="6"/>
  <c r="S37" i="6"/>
  <c r="T37" i="6"/>
  <c r="U37" i="6"/>
  <c r="V37" i="6"/>
  <c r="W37" i="6"/>
  <c r="X37" i="6"/>
  <c r="Y37" i="6"/>
  <c r="Z37" i="6"/>
  <c r="S38" i="6"/>
  <c r="T38" i="6"/>
  <c r="U38" i="6"/>
  <c r="V38" i="6"/>
  <c r="W38" i="6"/>
  <c r="X38" i="6"/>
  <c r="Y38" i="6"/>
  <c r="Z38" i="6"/>
  <c r="S39" i="6"/>
  <c r="T39" i="6"/>
  <c r="U39" i="6"/>
  <c r="V39" i="6"/>
  <c r="W39" i="6"/>
  <c r="X39" i="6"/>
  <c r="Y39" i="6"/>
  <c r="Z39" i="6"/>
  <c r="S40" i="6"/>
  <c r="T40" i="6"/>
  <c r="U40" i="6"/>
  <c r="V40" i="6"/>
  <c r="W40" i="6"/>
  <c r="X40" i="6"/>
  <c r="Y40" i="6"/>
  <c r="Z40" i="6"/>
  <c r="S41" i="6"/>
  <c r="T41" i="6"/>
  <c r="U41" i="6"/>
  <c r="V41" i="6"/>
  <c r="W41" i="6"/>
  <c r="X41" i="6"/>
  <c r="Y41" i="6"/>
  <c r="Z41" i="6"/>
  <c r="S42" i="6"/>
  <c r="T42" i="6"/>
  <c r="U42" i="6"/>
  <c r="V42" i="6"/>
  <c r="W42" i="6"/>
  <c r="X42" i="6"/>
  <c r="Y42" i="6"/>
  <c r="Z42" i="6"/>
  <c r="S43" i="6"/>
  <c r="T43" i="6"/>
  <c r="U43" i="6"/>
  <c r="V43" i="6"/>
  <c r="W43" i="6"/>
  <c r="X43" i="6"/>
  <c r="Y43" i="6"/>
  <c r="Z43" i="6"/>
  <c r="S44" i="6"/>
  <c r="T44" i="6"/>
  <c r="U44" i="6"/>
  <c r="V44" i="6"/>
  <c r="W44" i="6"/>
  <c r="X44" i="6"/>
  <c r="Y44" i="6"/>
  <c r="Z44" i="6"/>
  <c r="S45" i="6"/>
  <c r="T45" i="6"/>
  <c r="U45" i="6"/>
  <c r="V45" i="6"/>
  <c r="W45" i="6"/>
  <c r="X45" i="6"/>
  <c r="Y45" i="6"/>
  <c r="Z45" i="6"/>
  <c r="S46" i="6"/>
  <c r="T46" i="6"/>
  <c r="U46" i="6"/>
  <c r="V46" i="6"/>
  <c r="W46" i="6"/>
  <c r="X46" i="6"/>
  <c r="Y46" i="6"/>
  <c r="Z46" i="6"/>
  <c r="S47" i="6"/>
  <c r="T47" i="6"/>
  <c r="U47" i="6"/>
  <c r="V47" i="6"/>
  <c r="W47" i="6"/>
  <c r="X47" i="6"/>
  <c r="Y47" i="6"/>
  <c r="Z47" i="6"/>
  <c r="S48" i="6"/>
  <c r="T48" i="6"/>
  <c r="U48" i="6"/>
  <c r="V48" i="6"/>
  <c r="W48" i="6"/>
  <c r="X48" i="6"/>
  <c r="Y48" i="6"/>
  <c r="Z48" i="6"/>
  <c r="S49" i="6"/>
  <c r="T49" i="6"/>
  <c r="U49" i="6"/>
  <c r="V49" i="6"/>
  <c r="W49" i="6"/>
  <c r="X49" i="6"/>
  <c r="Y49" i="6"/>
  <c r="Z49" i="6"/>
  <c r="S50" i="6"/>
  <c r="T50" i="6"/>
  <c r="U50" i="6"/>
  <c r="V50" i="6"/>
  <c r="W50" i="6"/>
  <c r="X50" i="6"/>
  <c r="Y50" i="6"/>
  <c r="Z50" i="6"/>
  <c r="S51" i="6"/>
  <c r="T51" i="6"/>
  <c r="U51" i="6"/>
  <c r="V51" i="6"/>
  <c r="W51" i="6"/>
  <c r="X51" i="6"/>
  <c r="Y51" i="6"/>
  <c r="Z51" i="6"/>
  <c r="S52" i="6"/>
  <c r="T52" i="6"/>
  <c r="U52" i="6"/>
  <c r="V52" i="6"/>
  <c r="W52" i="6"/>
  <c r="X52" i="6"/>
  <c r="Y52" i="6"/>
  <c r="Z52" i="6"/>
  <c r="S53" i="6"/>
  <c r="T53" i="6"/>
  <c r="U53" i="6"/>
  <c r="V53" i="6"/>
  <c r="W53" i="6"/>
  <c r="X53" i="6"/>
  <c r="Y53" i="6"/>
  <c r="Z53" i="6"/>
  <c r="S54" i="6"/>
  <c r="T54" i="6"/>
  <c r="U54" i="6"/>
  <c r="V54" i="6"/>
  <c r="W54" i="6"/>
  <c r="X54" i="6"/>
  <c r="Y54" i="6"/>
  <c r="Z54" i="6"/>
  <c r="S55" i="6"/>
  <c r="T55" i="6"/>
  <c r="U55" i="6"/>
  <c r="V55" i="6"/>
  <c r="W55" i="6"/>
  <c r="X55" i="6"/>
  <c r="Y55" i="6"/>
  <c r="Z55" i="6"/>
  <c r="S56" i="6"/>
  <c r="T56" i="6"/>
  <c r="U56" i="6"/>
  <c r="V56" i="6"/>
  <c r="W56" i="6"/>
  <c r="X56" i="6"/>
  <c r="Y56" i="6"/>
  <c r="Z56" i="6"/>
  <c r="S57" i="6"/>
  <c r="T57" i="6"/>
  <c r="U57" i="6"/>
  <c r="V57" i="6"/>
  <c r="W57" i="6"/>
  <c r="X57" i="6"/>
  <c r="Y57" i="6"/>
  <c r="Z57" i="6"/>
  <c r="S58" i="6"/>
  <c r="T58" i="6"/>
  <c r="U58" i="6"/>
  <c r="V58" i="6"/>
  <c r="W58" i="6"/>
  <c r="X58" i="6"/>
  <c r="Y58" i="6"/>
  <c r="Z58" i="6"/>
  <c r="S59" i="6"/>
  <c r="T59" i="6"/>
  <c r="U59" i="6"/>
  <c r="V59" i="6"/>
  <c r="W59" i="6"/>
  <c r="X59" i="6"/>
  <c r="Y59" i="6"/>
  <c r="Z59" i="6"/>
  <c r="S60" i="6"/>
  <c r="T60" i="6"/>
  <c r="U60" i="6"/>
  <c r="V60" i="6"/>
  <c r="W60" i="6"/>
  <c r="X60" i="6"/>
  <c r="Y60" i="6"/>
  <c r="Z60" i="6"/>
  <c r="S61" i="6"/>
  <c r="T61" i="6"/>
  <c r="U61" i="6"/>
  <c r="V61" i="6"/>
  <c r="W61" i="6"/>
  <c r="X61" i="6"/>
  <c r="Y61" i="6"/>
  <c r="Z61" i="6"/>
  <c r="S62" i="6"/>
  <c r="T62" i="6"/>
  <c r="U62" i="6"/>
  <c r="V62" i="6"/>
  <c r="W62" i="6"/>
  <c r="X62" i="6"/>
  <c r="Y62" i="6"/>
  <c r="Z62" i="6"/>
  <c r="S63" i="6"/>
  <c r="T63" i="6"/>
  <c r="U63" i="6"/>
  <c r="V63" i="6"/>
  <c r="W63" i="6"/>
  <c r="X63" i="6"/>
  <c r="Y63" i="6"/>
  <c r="Z63" i="6"/>
  <c r="S64" i="6"/>
  <c r="T64" i="6"/>
  <c r="U64" i="6"/>
  <c r="V64" i="6"/>
  <c r="W64" i="6"/>
  <c r="X64" i="6"/>
  <c r="Y64" i="6"/>
  <c r="Z64" i="6"/>
  <c r="S65" i="6"/>
  <c r="T65" i="6"/>
  <c r="U65" i="6"/>
  <c r="V65" i="6"/>
  <c r="W65" i="6"/>
  <c r="X65" i="6"/>
  <c r="Y65" i="6"/>
  <c r="Z65" i="6"/>
  <c r="S66" i="6"/>
  <c r="T66" i="6"/>
  <c r="U66" i="6"/>
  <c r="V66" i="6"/>
  <c r="W66" i="6"/>
  <c r="X66" i="6"/>
  <c r="Y66" i="6"/>
  <c r="Z66" i="6"/>
  <c r="S67" i="6"/>
  <c r="T67" i="6"/>
  <c r="U67" i="6"/>
  <c r="V67" i="6"/>
  <c r="W67" i="6"/>
  <c r="X67" i="6"/>
  <c r="Y67" i="6"/>
  <c r="Z67" i="6"/>
  <c r="S68" i="6"/>
  <c r="T68" i="6"/>
  <c r="U68" i="6"/>
  <c r="V68" i="6"/>
  <c r="W68" i="6"/>
  <c r="X68" i="6"/>
  <c r="Y68" i="6"/>
  <c r="Z68" i="6"/>
  <c r="S69" i="6"/>
  <c r="T69" i="6"/>
  <c r="U69" i="6"/>
  <c r="V69" i="6"/>
  <c r="W69" i="6"/>
  <c r="X69" i="6"/>
  <c r="Y69" i="6"/>
  <c r="Z69" i="6"/>
  <c r="S70" i="6"/>
  <c r="T70" i="6"/>
  <c r="U70" i="6"/>
  <c r="V70" i="6"/>
  <c r="W70" i="6"/>
  <c r="X70" i="6"/>
  <c r="Y70" i="6"/>
  <c r="Z70" i="6"/>
  <c r="S71" i="6"/>
  <c r="T71" i="6"/>
  <c r="U71" i="6"/>
  <c r="V71" i="6"/>
  <c r="W71" i="6"/>
  <c r="X71" i="6"/>
  <c r="Y71" i="6"/>
  <c r="Z71" i="6"/>
  <c r="S72" i="6"/>
  <c r="T72" i="6"/>
  <c r="U72" i="6"/>
  <c r="V72" i="6"/>
  <c r="W72" i="6"/>
  <c r="X72" i="6"/>
  <c r="Y72" i="6"/>
  <c r="Z72" i="6"/>
  <c r="S73" i="6"/>
  <c r="T73" i="6"/>
  <c r="U73" i="6"/>
  <c r="V73" i="6"/>
  <c r="W73" i="6"/>
  <c r="X73" i="6"/>
  <c r="Y73" i="6"/>
  <c r="Z73" i="6"/>
  <c r="S74" i="6"/>
  <c r="T74" i="6"/>
  <c r="U74" i="6"/>
  <c r="V74" i="6"/>
  <c r="W74" i="6"/>
  <c r="X74" i="6"/>
  <c r="Y74" i="6"/>
  <c r="Z74" i="6"/>
  <c r="S75" i="6"/>
  <c r="T75" i="6"/>
  <c r="U75" i="6"/>
  <c r="V75" i="6"/>
  <c r="W75" i="6"/>
  <c r="X75" i="6"/>
  <c r="Y75" i="6"/>
  <c r="Z75" i="6"/>
  <c r="S76" i="6"/>
  <c r="T76" i="6"/>
  <c r="U76" i="6"/>
  <c r="V76" i="6"/>
  <c r="W76" i="6"/>
  <c r="X76" i="6"/>
  <c r="Y76" i="6"/>
  <c r="Z76" i="6"/>
  <c r="S77" i="6"/>
  <c r="T77" i="6"/>
  <c r="U77" i="6"/>
  <c r="V77" i="6"/>
  <c r="W77" i="6"/>
  <c r="X77" i="6"/>
  <c r="Y77" i="6"/>
  <c r="Z77" i="6"/>
  <c r="S78" i="6"/>
  <c r="T78" i="6"/>
  <c r="U78" i="6"/>
  <c r="V78" i="6"/>
  <c r="W78" i="6"/>
  <c r="X78" i="6"/>
  <c r="Y78" i="6"/>
  <c r="Z78" i="6"/>
  <c r="S79" i="6"/>
  <c r="T79" i="6"/>
  <c r="U79" i="6"/>
  <c r="V79" i="6"/>
  <c r="W79" i="6"/>
  <c r="X79" i="6"/>
  <c r="Y79" i="6"/>
  <c r="Z79" i="6"/>
  <c r="S80" i="6"/>
  <c r="T80" i="6"/>
  <c r="U80" i="6"/>
  <c r="V80" i="6"/>
  <c r="W80" i="6"/>
  <c r="X80" i="6"/>
  <c r="Y80" i="6"/>
  <c r="Z80" i="6"/>
  <c r="S81" i="6"/>
  <c r="T81" i="6"/>
  <c r="U81" i="6"/>
  <c r="V81" i="6"/>
  <c r="W81" i="6"/>
  <c r="X81" i="6"/>
  <c r="Y81" i="6"/>
  <c r="Z81" i="6"/>
  <c r="S82" i="6"/>
  <c r="T82" i="6"/>
  <c r="U82" i="6"/>
  <c r="V82" i="6"/>
  <c r="W82" i="6"/>
  <c r="X82" i="6"/>
  <c r="Y82" i="6"/>
  <c r="Z82" i="6"/>
  <c r="S83" i="6"/>
  <c r="T83" i="6"/>
  <c r="U83" i="6"/>
  <c r="V83" i="6"/>
  <c r="W83" i="6"/>
  <c r="X83" i="6"/>
  <c r="Y83" i="6"/>
  <c r="Z83" i="6"/>
  <c r="S84" i="6"/>
  <c r="T84" i="6"/>
  <c r="U84" i="6"/>
  <c r="V84" i="6"/>
  <c r="W84" i="6"/>
  <c r="X84" i="6"/>
  <c r="Y84" i="6"/>
  <c r="Z84" i="6"/>
  <c r="S85" i="6"/>
  <c r="T85" i="6"/>
  <c r="U85" i="6"/>
  <c r="V85" i="6"/>
  <c r="W85" i="6"/>
  <c r="X85" i="6"/>
  <c r="Y85" i="6"/>
  <c r="Z85" i="6"/>
  <c r="S86" i="6"/>
  <c r="T86" i="6"/>
  <c r="U86" i="6"/>
  <c r="V86" i="6"/>
  <c r="W86" i="6"/>
  <c r="X86" i="6"/>
  <c r="Y86" i="6"/>
  <c r="Z86" i="6"/>
  <c r="S87" i="6"/>
  <c r="T87" i="6"/>
  <c r="U87" i="6"/>
  <c r="V87" i="6"/>
  <c r="W87" i="6"/>
  <c r="X87" i="6"/>
  <c r="Y87" i="6"/>
  <c r="Z87" i="6"/>
  <c r="S88" i="6"/>
  <c r="T88" i="6"/>
  <c r="U88" i="6"/>
  <c r="V88" i="6"/>
  <c r="W88" i="6"/>
  <c r="X88" i="6"/>
  <c r="Y88" i="6"/>
  <c r="Z88" i="6"/>
  <c r="S89" i="6"/>
  <c r="T89" i="6"/>
  <c r="U89" i="6"/>
  <c r="V89" i="6"/>
  <c r="W89" i="6"/>
  <c r="X89" i="6"/>
  <c r="Y89" i="6"/>
  <c r="Z89" i="6"/>
  <c r="S90" i="6"/>
  <c r="T90" i="6"/>
  <c r="U90" i="6"/>
  <c r="V90" i="6"/>
  <c r="W90" i="6"/>
  <c r="X90" i="6"/>
  <c r="Y90" i="6"/>
  <c r="Z90" i="6"/>
  <c r="S91" i="6"/>
  <c r="T91" i="6"/>
  <c r="U91" i="6"/>
  <c r="V91" i="6"/>
  <c r="W91" i="6"/>
  <c r="X91" i="6"/>
  <c r="Y91" i="6"/>
  <c r="Z91" i="6"/>
  <c r="S92" i="6"/>
  <c r="T92" i="6"/>
  <c r="U92" i="6"/>
  <c r="V92" i="6"/>
  <c r="W92" i="6"/>
  <c r="X92" i="6"/>
  <c r="Y92" i="6"/>
  <c r="Z92" i="6"/>
  <c r="S93" i="6"/>
  <c r="T93" i="6"/>
  <c r="U93" i="6"/>
  <c r="V93" i="6"/>
  <c r="W93" i="6"/>
  <c r="X93" i="6"/>
  <c r="Y93" i="6"/>
  <c r="Z93" i="6"/>
  <c r="S94" i="6"/>
  <c r="T94" i="6"/>
  <c r="U94" i="6"/>
  <c r="V94" i="6"/>
  <c r="W94" i="6"/>
  <c r="X94" i="6"/>
  <c r="Y94" i="6"/>
  <c r="Z94" i="6"/>
  <c r="S95" i="6"/>
  <c r="T95" i="6"/>
  <c r="U95" i="6"/>
  <c r="V95" i="6"/>
  <c r="W95" i="6"/>
  <c r="X95" i="6"/>
  <c r="Y95" i="6"/>
  <c r="Z95" i="6"/>
  <c r="S96" i="6"/>
  <c r="T96" i="6"/>
  <c r="U96" i="6"/>
  <c r="V96" i="6"/>
  <c r="W96" i="6"/>
  <c r="X96" i="6"/>
  <c r="Y96" i="6"/>
  <c r="Z96" i="6"/>
  <c r="S97" i="6"/>
  <c r="T97" i="6"/>
  <c r="U97" i="6"/>
  <c r="V97" i="6"/>
  <c r="W97" i="6"/>
  <c r="X97" i="6"/>
  <c r="Y97" i="6"/>
  <c r="Z97" i="6"/>
  <c r="S98" i="6"/>
  <c r="T98" i="6"/>
  <c r="U98" i="6"/>
  <c r="V98" i="6"/>
  <c r="W98" i="6"/>
  <c r="X98" i="6"/>
  <c r="Y98" i="6"/>
  <c r="Z98" i="6"/>
  <c r="S99" i="6"/>
  <c r="T99" i="6"/>
  <c r="U99" i="6"/>
  <c r="V99" i="6"/>
  <c r="W99" i="6"/>
  <c r="X99" i="6"/>
  <c r="Y99" i="6"/>
  <c r="Z99" i="6"/>
  <c r="S100" i="6"/>
  <c r="T100" i="6"/>
  <c r="U100" i="6"/>
  <c r="V100" i="6"/>
  <c r="W100" i="6"/>
  <c r="X100" i="6"/>
  <c r="Y100" i="6"/>
  <c r="Z100" i="6"/>
  <c r="S101" i="6"/>
  <c r="T101" i="6"/>
  <c r="U101" i="6"/>
  <c r="V101" i="6"/>
  <c r="W101" i="6"/>
  <c r="X101" i="6"/>
  <c r="Y101" i="6"/>
  <c r="Z101" i="6"/>
  <c r="S102" i="6"/>
  <c r="T102" i="6"/>
  <c r="U102" i="6"/>
  <c r="V102" i="6"/>
  <c r="W102" i="6"/>
  <c r="X102" i="6"/>
  <c r="Y102" i="6"/>
  <c r="Z102" i="6"/>
  <c r="S103" i="6"/>
  <c r="T103" i="6"/>
  <c r="U103" i="6"/>
  <c r="V103" i="6"/>
  <c r="W103" i="6"/>
  <c r="X103" i="6"/>
  <c r="Y103" i="6"/>
  <c r="Z103" i="6"/>
  <c r="S104" i="6"/>
  <c r="T104" i="6"/>
  <c r="U104" i="6"/>
  <c r="V104" i="6"/>
  <c r="W104" i="6"/>
  <c r="X104" i="6"/>
  <c r="Y104" i="6"/>
  <c r="Z104" i="6"/>
  <c r="S105" i="6"/>
  <c r="T105" i="6"/>
  <c r="U105" i="6"/>
  <c r="V105" i="6"/>
  <c r="W105" i="6"/>
  <c r="X105" i="6"/>
  <c r="Y105" i="6"/>
  <c r="Z105" i="6"/>
  <c r="S106" i="6"/>
  <c r="T106" i="6"/>
  <c r="U106" i="6"/>
  <c r="V106" i="6"/>
  <c r="W106" i="6"/>
  <c r="X106" i="6"/>
  <c r="Y106" i="6"/>
  <c r="Z106" i="6"/>
  <c r="S107" i="6"/>
  <c r="T107" i="6"/>
  <c r="U107" i="6"/>
  <c r="V107" i="6"/>
  <c r="W107" i="6"/>
  <c r="X107" i="6"/>
  <c r="Y107" i="6"/>
  <c r="Z107" i="6"/>
  <c r="S108" i="6"/>
  <c r="T108" i="6"/>
  <c r="U108" i="6"/>
  <c r="V108" i="6"/>
  <c r="W108" i="6"/>
  <c r="X108" i="6"/>
  <c r="Y108" i="6"/>
  <c r="Z108" i="6"/>
  <c r="S109" i="6"/>
  <c r="T109" i="6"/>
  <c r="U109" i="6"/>
  <c r="V109" i="6"/>
  <c r="W109" i="6"/>
  <c r="X109" i="6"/>
  <c r="Y109" i="6"/>
  <c r="Z109" i="6"/>
  <c r="S110" i="6"/>
  <c r="T110" i="6"/>
  <c r="U110" i="6"/>
  <c r="V110" i="6"/>
  <c r="W110" i="6"/>
  <c r="X110" i="6"/>
  <c r="Y110" i="6"/>
  <c r="Z110" i="6"/>
  <c r="S111" i="6"/>
  <c r="T111" i="6"/>
  <c r="U111" i="6"/>
  <c r="V111" i="6"/>
  <c r="W111" i="6"/>
  <c r="X111" i="6"/>
  <c r="Y111" i="6"/>
  <c r="Z111" i="6"/>
  <c r="S112" i="6"/>
  <c r="T112" i="6"/>
  <c r="U112" i="6"/>
  <c r="V112" i="6"/>
  <c r="W112" i="6"/>
  <c r="X112" i="6"/>
  <c r="Y112" i="6"/>
  <c r="Z112" i="6"/>
  <c r="S113" i="6"/>
  <c r="T113" i="6"/>
  <c r="U113" i="6"/>
  <c r="V113" i="6"/>
  <c r="W113" i="6"/>
  <c r="X113" i="6"/>
  <c r="Y113" i="6"/>
  <c r="Z113" i="6"/>
  <c r="S114" i="6"/>
  <c r="T114" i="6"/>
  <c r="U114" i="6"/>
  <c r="V114" i="6"/>
  <c r="W114" i="6"/>
  <c r="X114" i="6"/>
  <c r="Y114" i="6"/>
  <c r="Z114" i="6"/>
  <c r="S115" i="6"/>
  <c r="T115" i="6"/>
  <c r="U115" i="6"/>
  <c r="V115" i="6"/>
  <c r="W115" i="6"/>
  <c r="X115" i="6"/>
  <c r="Y115" i="6"/>
  <c r="Z115" i="6"/>
  <c r="S116" i="6"/>
  <c r="T116" i="6"/>
  <c r="U116" i="6"/>
  <c r="V116" i="6"/>
  <c r="W116" i="6"/>
  <c r="X116" i="6"/>
  <c r="Y116" i="6"/>
  <c r="Z116" i="6"/>
  <c r="S117" i="6"/>
  <c r="T117" i="6"/>
  <c r="U117" i="6"/>
  <c r="V117" i="6"/>
  <c r="W117" i="6"/>
  <c r="X117" i="6"/>
  <c r="Y117" i="6"/>
  <c r="Z117" i="6"/>
  <c r="S118" i="6"/>
  <c r="T118" i="6"/>
  <c r="U118" i="6"/>
  <c r="V118" i="6"/>
  <c r="W118" i="6"/>
  <c r="X118" i="6"/>
  <c r="Y118" i="6"/>
  <c r="Z118" i="6"/>
  <c r="S119" i="6"/>
  <c r="T119" i="6"/>
  <c r="U119" i="6"/>
  <c r="V119" i="6"/>
  <c r="W119" i="6"/>
  <c r="X119" i="6"/>
  <c r="Y119" i="6"/>
  <c r="Z119" i="6"/>
  <c r="S120" i="6"/>
  <c r="T120" i="6"/>
  <c r="U120" i="6"/>
  <c r="V120" i="6"/>
  <c r="W120" i="6"/>
  <c r="X120" i="6"/>
  <c r="Y120" i="6"/>
  <c r="Z120" i="6"/>
  <c r="S121" i="6"/>
  <c r="T121" i="6"/>
  <c r="U121" i="6"/>
  <c r="V121" i="6"/>
  <c r="W121" i="6"/>
  <c r="X121" i="6"/>
  <c r="Y121" i="6"/>
  <c r="Z121" i="6"/>
  <c r="S122" i="6"/>
  <c r="T122" i="6"/>
  <c r="U122" i="6"/>
  <c r="V122" i="6"/>
  <c r="W122" i="6"/>
  <c r="X122" i="6"/>
  <c r="Y122" i="6"/>
  <c r="Z122" i="6"/>
  <c r="S123" i="6"/>
  <c r="T123" i="6"/>
  <c r="U123" i="6"/>
  <c r="V123" i="6"/>
  <c r="W123" i="6"/>
  <c r="X123" i="6"/>
  <c r="Y123" i="6"/>
  <c r="Z123" i="6"/>
  <c r="S124" i="6"/>
  <c r="T124" i="6"/>
  <c r="U124" i="6"/>
  <c r="V124" i="6"/>
  <c r="W124" i="6"/>
  <c r="X124" i="6"/>
  <c r="Y124" i="6"/>
  <c r="Z124" i="6"/>
  <c r="S125" i="6"/>
  <c r="T125" i="6"/>
  <c r="U125" i="6"/>
  <c r="V125" i="6"/>
  <c r="W125" i="6"/>
  <c r="X125" i="6"/>
  <c r="Y125" i="6"/>
  <c r="Z125" i="6"/>
  <c r="S126" i="6"/>
  <c r="T126" i="6"/>
  <c r="U126" i="6"/>
  <c r="V126" i="6"/>
  <c r="W126" i="6"/>
  <c r="X126" i="6"/>
  <c r="Y126" i="6"/>
  <c r="Z126" i="6"/>
  <c r="S127" i="6"/>
  <c r="T127" i="6"/>
  <c r="U127" i="6"/>
  <c r="V127" i="6"/>
  <c r="W127" i="6"/>
  <c r="X127" i="6"/>
  <c r="Y127" i="6"/>
  <c r="Z127" i="6"/>
  <c r="S128" i="6"/>
  <c r="T128" i="6"/>
  <c r="U128" i="6"/>
  <c r="V128" i="6"/>
  <c r="W128" i="6"/>
  <c r="X128" i="6"/>
  <c r="Y128" i="6"/>
  <c r="Z128" i="6"/>
  <c r="S129" i="6"/>
  <c r="T129" i="6"/>
  <c r="U129" i="6"/>
  <c r="V129" i="6"/>
  <c r="W129" i="6"/>
  <c r="X129" i="6"/>
  <c r="Y129" i="6"/>
  <c r="Z129" i="6"/>
  <c r="S130" i="6"/>
  <c r="T130" i="6"/>
  <c r="U130" i="6"/>
  <c r="V130" i="6"/>
  <c r="W130" i="6"/>
  <c r="X130" i="6"/>
  <c r="Y130" i="6"/>
  <c r="Z130" i="6"/>
  <c r="S131" i="6"/>
  <c r="T131" i="6"/>
  <c r="U131" i="6"/>
  <c r="V131" i="6"/>
  <c r="W131" i="6"/>
  <c r="X131" i="6"/>
  <c r="Y131" i="6"/>
  <c r="Z131" i="6"/>
  <c r="S132" i="6"/>
  <c r="T132" i="6"/>
  <c r="U132" i="6"/>
  <c r="V132" i="6"/>
  <c r="W132" i="6"/>
  <c r="X132" i="6"/>
  <c r="Y132" i="6"/>
  <c r="Z132" i="6"/>
  <c r="S133" i="6"/>
  <c r="T133" i="6"/>
  <c r="U133" i="6"/>
  <c r="V133" i="6"/>
  <c r="W133" i="6"/>
  <c r="X133" i="6"/>
  <c r="Y133" i="6"/>
  <c r="Z133" i="6"/>
  <c r="S134" i="6"/>
  <c r="T134" i="6"/>
  <c r="U134" i="6"/>
  <c r="V134" i="6"/>
  <c r="W134" i="6"/>
  <c r="X134" i="6"/>
  <c r="Y134" i="6"/>
  <c r="Z134" i="6"/>
  <c r="S135" i="6"/>
  <c r="T135" i="6"/>
  <c r="U135" i="6"/>
  <c r="V135" i="6"/>
  <c r="W135" i="6"/>
  <c r="X135" i="6"/>
  <c r="Y135" i="6"/>
  <c r="Z135" i="6"/>
  <c r="S136" i="6"/>
  <c r="T136" i="6"/>
  <c r="U136" i="6"/>
  <c r="V136" i="6"/>
  <c r="W136" i="6"/>
  <c r="X136" i="6"/>
  <c r="Y136" i="6"/>
  <c r="Z136" i="6"/>
  <c r="S137" i="6"/>
  <c r="T137" i="6"/>
  <c r="U137" i="6"/>
  <c r="V137" i="6"/>
  <c r="W137" i="6"/>
  <c r="X137" i="6"/>
  <c r="Y137" i="6"/>
  <c r="Z137" i="6"/>
  <c r="S138" i="6"/>
  <c r="T138" i="6"/>
  <c r="U138" i="6"/>
  <c r="V138" i="6"/>
  <c r="W138" i="6"/>
  <c r="X138" i="6"/>
  <c r="Y138" i="6"/>
  <c r="Z138" i="6"/>
  <c r="S139" i="6"/>
  <c r="T139" i="6"/>
  <c r="U139" i="6"/>
  <c r="V139" i="6"/>
  <c r="W139" i="6"/>
  <c r="X139" i="6"/>
  <c r="Y139" i="6"/>
  <c r="Z139" i="6"/>
  <c r="S140" i="6"/>
  <c r="T140" i="6"/>
  <c r="U140" i="6"/>
  <c r="V140" i="6"/>
  <c r="W140" i="6"/>
  <c r="X140" i="6"/>
  <c r="Y140" i="6"/>
  <c r="Z140" i="6"/>
  <c r="S141" i="6"/>
  <c r="T141" i="6"/>
  <c r="U141" i="6"/>
  <c r="V141" i="6"/>
  <c r="W141" i="6"/>
  <c r="X141" i="6"/>
  <c r="Y141" i="6"/>
  <c r="Z141" i="6"/>
  <c r="S142" i="6"/>
  <c r="T142" i="6"/>
  <c r="U142" i="6"/>
  <c r="V142" i="6"/>
  <c r="W142" i="6"/>
  <c r="X142" i="6"/>
  <c r="Y142" i="6"/>
  <c r="Z142" i="6"/>
  <c r="S143" i="6"/>
  <c r="T143" i="6"/>
  <c r="U143" i="6"/>
  <c r="V143" i="6"/>
  <c r="W143" i="6"/>
  <c r="X143" i="6"/>
  <c r="Y143" i="6"/>
  <c r="Z143" i="6"/>
  <c r="S144" i="6"/>
  <c r="T144" i="6"/>
  <c r="U144" i="6"/>
  <c r="V144" i="6"/>
  <c r="W144" i="6"/>
  <c r="X144" i="6"/>
  <c r="Y144" i="6"/>
  <c r="Z144" i="6"/>
  <c r="S145" i="6"/>
  <c r="T145" i="6"/>
  <c r="U145" i="6"/>
  <c r="V145" i="6"/>
  <c r="W145" i="6"/>
  <c r="X145" i="6"/>
  <c r="Y145" i="6"/>
  <c r="Z145" i="6"/>
  <c r="S146" i="6"/>
  <c r="T146" i="6"/>
  <c r="U146" i="6"/>
  <c r="V146" i="6"/>
  <c r="W146" i="6"/>
  <c r="X146" i="6"/>
  <c r="Y146" i="6"/>
  <c r="Z146" i="6"/>
  <c r="S147" i="6"/>
  <c r="T147" i="6"/>
  <c r="U147" i="6"/>
  <c r="V147" i="6"/>
  <c r="W147" i="6"/>
  <c r="X147" i="6"/>
  <c r="Y147" i="6"/>
  <c r="Z147" i="6"/>
  <c r="S148" i="6"/>
  <c r="T148" i="6"/>
  <c r="U148" i="6"/>
  <c r="V148" i="6"/>
  <c r="W148" i="6"/>
  <c r="X148" i="6"/>
  <c r="Y148" i="6"/>
  <c r="Z148" i="6"/>
  <c r="S149" i="6"/>
  <c r="T149" i="6"/>
  <c r="U149" i="6"/>
  <c r="V149" i="6"/>
  <c r="W149" i="6"/>
  <c r="X149" i="6"/>
  <c r="Y149" i="6"/>
  <c r="Z149" i="6"/>
  <c r="S150" i="6"/>
  <c r="T150" i="6"/>
  <c r="U150" i="6"/>
  <c r="V150" i="6"/>
  <c r="W150" i="6"/>
  <c r="X150" i="6"/>
  <c r="Y150" i="6"/>
  <c r="Z150" i="6"/>
  <c r="S151" i="6"/>
  <c r="T151" i="6"/>
  <c r="U151" i="6"/>
  <c r="V151" i="6"/>
  <c r="W151" i="6"/>
  <c r="X151" i="6"/>
  <c r="Y151" i="6"/>
  <c r="Z151" i="6"/>
  <c r="S152" i="6"/>
  <c r="T152" i="6"/>
  <c r="U152" i="6"/>
  <c r="V152" i="6"/>
  <c r="W152" i="6"/>
  <c r="X152" i="6"/>
  <c r="Y152" i="6"/>
  <c r="Z152" i="6"/>
  <c r="S153" i="6"/>
  <c r="T153" i="6"/>
  <c r="U153" i="6"/>
  <c r="V153" i="6"/>
  <c r="W153" i="6"/>
  <c r="X153" i="6"/>
  <c r="Y153" i="6"/>
  <c r="Z153" i="6"/>
  <c r="S154" i="6"/>
  <c r="T154" i="6"/>
  <c r="U154" i="6"/>
  <c r="V154" i="6"/>
  <c r="W154" i="6"/>
  <c r="X154" i="6"/>
  <c r="Y154" i="6"/>
  <c r="Z154" i="6"/>
  <c r="S155" i="6"/>
  <c r="T155" i="6"/>
  <c r="U155" i="6"/>
  <c r="V155" i="6"/>
  <c r="W155" i="6"/>
  <c r="X155" i="6"/>
  <c r="Y155" i="6"/>
  <c r="Z155" i="6"/>
  <c r="S156" i="6"/>
  <c r="T156" i="6"/>
  <c r="U156" i="6"/>
  <c r="V156" i="6"/>
  <c r="W156" i="6"/>
  <c r="X156" i="6"/>
  <c r="Y156" i="6"/>
  <c r="Z156" i="6"/>
  <c r="S157" i="6"/>
  <c r="T157" i="6"/>
  <c r="U157" i="6"/>
  <c r="V157" i="6"/>
  <c r="W157" i="6"/>
  <c r="X157" i="6"/>
  <c r="Y157" i="6"/>
  <c r="Z157" i="6"/>
  <c r="S158" i="6"/>
  <c r="T158" i="6"/>
  <c r="U158" i="6"/>
  <c r="V158" i="6"/>
  <c r="W158" i="6"/>
  <c r="X158" i="6"/>
  <c r="Y158" i="6"/>
  <c r="Z158" i="6"/>
  <c r="S159" i="6"/>
  <c r="T159" i="6"/>
  <c r="U159" i="6"/>
  <c r="V159" i="6"/>
  <c r="W159" i="6"/>
  <c r="X159" i="6"/>
  <c r="Y159" i="6"/>
  <c r="Z159" i="6"/>
  <c r="S160" i="6"/>
  <c r="T160" i="6"/>
  <c r="U160" i="6"/>
  <c r="V160" i="6"/>
  <c r="W160" i="6"/>
  <c r="X160" i="6"/>
  <c r="Y160" i="6"/>
  <c r="Z160" i="6"/>
  <c r="S161" i="6"/>
  <c r="T161" i="6"/>
  <c r="U161" i="6"/>
  <c r="V161" i="6"/>
  <c r="W161" i="6"/>
  <c r="X161" i="6"/>
  <c r="Y161" i="6"/>
  <c r="Z161" i="6"/>
  <c r="S162" i="6"/>
  <c r="T162" i="6"/>
  <c r="U162" i="6"/>
  <c r="V162" i="6"/>
  <c r="W162" i="6"/>
  <c r="X162" i="6"/>
  <c r="Y162" i="6"/>
  <c r="Z162" i="6"/>
  <c r="S163" i="6"/>
  <c r="T163" i="6"/>
  <c r="U163" i="6"/>
  <c r="V163" i="6"/>
  <c r="W163" i="6"/>
  <c r="X163" i="6"/>
  <c r="Y163" i="6"/>
  <c r="Z163" i="6"/>
  <c r="S164" i="6"/>
  <c r="T164" i="6"/>
  <c r="U164" i="6"/>
  <c r="V164" i="6"/>
  <c r="W164" i="6"/>
  <c r="X164" i="6"/>
  <c r="Y164" i="6"/>
  <c r="Z164" i="6"/>
  <c r="S165" i="6"/>
  <c r="T165" i="6"/>
  <c r="U165" i="6"/>
  <c r="V165" i="6"/>
  <c r="W165" i="6"/>
  <c r="X165" i="6"/>
  <c r="Y165" i="6"/>
  <c r="Z165" i="6"/>
  <c r="S166" i="6"/>
  <c r="T166" i="6"/>
  <c r="U166" i="6"/>
  <c r="V166" i="6"/>
  <c r="W166" i="6"/>
  <c r="X166" i="6"/>
  <c r="Y166" i="6"/>
  <c r="Z166" i="6"/>
  <c r="S167" i="6"/>
  <c r="T167" i="6"/>
  <c r="U167" i="6"/>
  <c r="V167" i="6"/>
  <c r="W167" i="6"/>
  <c r="X167" i="6"/>
  <c r="Y167" i="6"/>
  <c r="Z167" i="6"/>
  <c r="S168" i="6"/>
  <c r="T168" i="6"/>
  <c r="U168" i="6"/>
  <c r="V168" i="6"/>
  <c r="W168" i="6"/>
  <c r="X168" i="6"/>
  <c r="Y168" i="6"/>
  <c r="Z168" i="6"/>
  <c r="S169" i="6"/>
  <c r="T169" i="6"/>
  <c r="U169" i="6"/>
  <c r="V169" i="6"/>
  <c r="W169" i="6"/>
  <c r="X169" i="6"/>
  <c r="Y169" i="6"/>
  <c r="Z169" i="6"/>
  <c r="S170" i="6"/>
  <c r="T170" i="6"/>
  <c r="U170" i="6"/>
  <c r="V170" i="6"/>
  <c r="W170" i="6"/>
  <c r="X170" i="6"/>
  <c r="Y170" i="6"/>
  <c r="Z170" i="6"/>
  <c r="S171" i="6"/>
  <c r="T171" i="6"/>
  <c r="U171" i="6"/>
  <c r="V171" i="6"/>
  <c r="W171" i="6"/>
  <c r="X171" i="6"/>
  <c r="Y171" i="6"/>
  <c r="Z171" i="6"/>
  <c r="S172" i="6"/>
  <c r="T172" i="6"/>
  <c r="U172" i="6"/>
  <c r="V172" i="6"/>
  <c r="W172" i="6"/>
  <c r="X172" i="6"/>
  <c r="Y172" i="6"/>
  <c r="Z172" i="6"/>
  <c r="S173" i="6"/>
  <c r="T173" i="6"/>
  <c r="U173" i="6"/>
  <c r="V173" i="6"/>
  <c r="W173" i="6"/>
  <c r="X173" i="6"/>
  <c r="Y173" i="6"/>
  <c r="Z173" i="6"/>
  <c r="S174" i="6"/>
  <c r="T174" i="6"/>
  <c r="U174" i="6"/>
  <c r="V174" i="6"/>
  <c r="W174" i="6"/>
  <c r="X174" i="6"/>
  <c r="Y174" i="6"/>
  <c r="Z174" i="6"/>
  <c r="S175" i="6"/>
  <c r="T175" i="6"/>
  <c r="U175" i="6"/>
  <c r="V175" i="6"/>
  <c r="W175" i="6"/>
  <c r="X175" i="6"/>
  <c r="Y175" i="6"/>
  <c r="Z175" i="6"/>
  <c r="S176" i="6"/>
  <c r="T176" i="6"/>
  <c r="U176" i="6"/>
  <c r="V176" i="6"/>
  <c r="W176" i="6"/>
  <c r="X176" i="6"/>
  <c r="Y176" i="6"/>
  <c r="Z176" i="6"/>
  <c r="S177" i="6"/>
  <c r="T177" i="6"/>
  <c r="U177" i="6"/>
  <c r="V177" i="6"/>
  <c r="W177" i="6"/>
  <c r="X177" i="6"/>
  <c r="Y177" i="6"/>
  <c r="Z177" i="6"/>
  <c r="S178" i="6"/>
  <c r="T178" i="6"/>
  <c r="U178" i="6"/>
  <c r="V178" i="6"/>
  <c r="W178" i="6"/>
  <c r="X178" i="6"/>
  <c r="Y178" i="6"/>
  <c r="Z178" i="6"/>
  <c r="S179" i="6"/>
  <c r="T179" i="6"/>
  <c r="U179" i="6"/>
  <c r="V179" i="6"/>
  <c r="W179" i="6"/>
  <c r="X179" i="6"/>
  <c r="Y179" i="6"/>
  <c r="Z179" i="6"/>
  <c r="S180" i="6"/>
  <c r="T180" i="6"/>
  <c r="U180" i="6"/>
  <c r="V180" i="6"/>
  <c r="W180" i="6"/>
  <c r="X180" i="6"/>
  <c r="Y180" i="6"/>
  <c r="Z180" i="6"/>
  <c r="S181" i="6"/>
  <c r="T181" i="6"/>
  <c r="U181" i="6"/>
  <c r="V181" i="6"/>
  <c r="W181" i="6"/>
  <c r="X181" i="6"/>
  <c r="Y181" i="6"/>
  <c r="Z181" i="6"/>
  <c r="S182" i="6"/>
  <c r="T182" i="6"/>
  <c r="U182" i="6"/>
  <c r="V182" i="6"/>
  <c r="W182" i="6"/>
  <c r="X182" i="6"/>
  <c r="Y182" i="6"/>
  <c r="Z182" i="6"/>
  <c r="S183" i="6"/>
  <c r="T183" i="6"/>
  <c r="U183" i="6"/>
  <c r="V183" i="6"/>
  <c r="W183" i="6"/>
  <c r="X183" i="6"/>
  <c r="Y183" i="6"/>
  <c r="Z183" i="6"/>
  <c r="S184" i="6"/>
  <c r="T184" i="6"/>
  <c r="U184" i="6"/>
  <c r="V184" i="6"/>
  <c r="W184" i="6"/>
  <c r="X184" i="6"/>
  <c r="Y184" i="6"/>
  <c r="Z184" i="6"/>
  <c r="S185" i="6"/>
  <c r="T185" i="6"/>
  <c r="U185" i="6"/>
  <c r="V185" i="6"/>
  <c r="W185" i="6"/>
  <c r="X185" i="6"/>
  <c r="Y185" i="6"/>
  <c r="Z185" i="6"/>
  <c r="S186" i="6"/>
  <c r="T186" i="6"/>
  <c r="U186" i="6"/>
  <c r="V186" i="6"/>
  <c r="W186" i="6"/>
  <c r="X186" i="6"/>
  <c r="Y186" i="6"/>
  <c r="Z186" i="6"/>
  <c r="S187" i="6"/>
  <c r="T187" i="6"/>
  <c r="U187" i="6"/>
  <c r="V187" i="6"/>
  <c r="W187" i="6"/>
  <c r="X187" i="6"/>
  <c r="Y187" i="6"/>
  <c r="Z187" i="6"/>
  <c r="S188" i="6"/>
  <c r="T188" i="6"/>
  <c r="U188" i="6"/>
  <c r="V188" i="6"/>
  <c r="W188" i="6"/>
  <c r="X188" i="6"/>
  <c r="Y188" i="6"/>
  <c r="Z188" i="6"/>
  <c r="S189" i="6"/>
  <c r="T189" i="6"/>
  <c r="U189" i="6"/>
  <c r="V189" i="6"/>
  <c r="W189" i="6"/>
  <c r="X189" i="6"/>
  <c r="Y189" i="6"/>
  <c r="Z189" i="6"/>
  <c r="S190" i="6"/>
  <c r="T190" i="6"/>
  <c r="U190" i="6"/>
  <c r="V190" i="6"/>
  <c r="W190" i="6"/>
  <c r="X190" i="6"/>
  <c r="Y190" i="6"/>
  <c r="Z190" i="6"/>
  <c r="S191" i="6"/>
  <c r="T191" i="6"/>
  <c r="U191" i="6"/>
  <c r="V191" i="6"/>
  <c r="W191" i="6"/>
  <c r="X191" i="6"/>
  <c r="Y191" i="6"/>
  <c r="Z191" i="6"/>
  <c r="S192" i="6"/>
  <c r="T192" i="6"/>
  <c r="U192" i="6"/>
  <c r="V192" i="6"/>
  <c r="W192" i="6"/>
  <c r="X192" i="6"/>
  <c r="Y192" i="6"/>
  <c r="Z192" i="6"/>
  <c r="S193" i="6"/>
  <c r="T193" i="6"/>
  <c r="U193" i="6"/>
  <c r="V193" i="6"/>
  <c r="W193" i="6"/>
  <c r="X193" i="6"/>
  <c r="Y193" i="6"/>
  <c r="Z193" i="6"/>
  <c r="S194" i="6"/>
  <c r="T194" i="6"/>
  <c r="U194" i="6"/>
  <c r="V194" i="6"/>
  <c r="W194" i="6"/>
  <c r="X194" i="6"/>
  <c r="Y194" i="6"/>
  <c r="Z194" i="6"/>
  <c r="S195" i="6"/>
  <c r="T195" i="6"/>
  <c r="U195" i="6"/>
  <c r="V195" i="6"/>
  <c r="W195" i="6"/>
  <c r="X195" i="6"/>
  <c r="Y195" i="6"/>
  <c r="Z195" i="6"/>
  <c r="S196" i="6"/>
  <c r="T196" i="6"/>
  <c r="U196" i="6"/>
  <c r="V196" i="6"/>
  <c r="W196" i="6"/>
  <c r="X196" i="6"/>
  <c r="Y196" i="6"/>
  <c r="Z196" i="6"/>
  <c r="S197" i="6"/>
  <c r="T197" i="6"/>
  <c r="U197" i="6"/>
  <c r="V197" i="6"/>
  <c r="W197" i="6"/>
  <c r="X197" i="6"/>
  <c r="Y197" i="6"/>
  <c r="Z197" i="6"/>
  <c r="S198" i="6"/>
  <c r="T198" i="6"/>
  <c r="U198" i="6"/>
  <c r="V198" i="6"/>
  <c r="W198" i="6"/>
  <c r="X198" i="6"/>
  <c r="Y198" i="6"/>
  <c r="Z198" i="6"/>
  <c r="S199" i="6"/>
  <c r="T199" i="6"/>
  <c r="U199" i="6"/>
  <c r="V199" i="6"/>
  <c r="W199" i="6"/>
  <c r="X199" i="6"/>
  <c r="Y199" i="6"/>
  <c r="Z199" i="6"/>
  <c r="S200" i="6"/>
  <c r="T200" i="6"/>
  <c r="U200" i="6"/>
  <c r="V200" i="6"/>
  <c r="W200" i="6"/>
  <c r="X200" i="6"/>
  <c r="Y200" i="6"/>
  <c r="Z200" i="6"/>
  <c r="S201" i="6"/>
  <c r="T201" i="6"/>
  <c r="U201" i="6"/>
  <c r="V201" i="6"/>
  <c r="W201" i="6"/>
  <c r="X201" i="6"/>
  <c r="Y201" i="6"/>
  <c r="Z201" i="6"/>
  <c r="S202" i="6"/>
  <c r="T202" i="6"/>
  <c r="U202" i="6"/>
  <c r="V202" i="6"/>
  <c r="W202" i="6"/>
  <c r="X202" i="6"/>
  <c r="Y202" i="6"/>
  <c r="Z202" i="6"/>
  <c r="S203" i="6"/>
  <c r="T203" i="6"/>
  <c r="U203" i="6"/>
  <c r="V203" i="6"/>
  <c r="W203" i="6"/>
  <c r="X203" i="6"/>
  <c r="Y203" i="6"/>
  <c r="Z203" i="6"/>
  <c r="S204" i="6"/>
  <c r="T204" i="6"/>
  <c r="U204" i="6"/>
  <c r="V204" i="6"/>
  <c r="W204" i="6"/>
  <c r="X204" i="6"/>
  <c r="Y204" i="6"/>
  <c r="Z204" i="6"/>
  <c r="S205" i="6"/>
  <c r="T205" i="6"/>
  <c r="U205" i="6"/>
  <c r="V205" i="6"/>
  <c r="W205" i="6"/>
  <c r="X205" i="6"/>
  <c r="Y205" i="6"/>
  <c r="Z205" i="6"/>
  <c r="S206" i="6"/>
  <c r="T206" i="6"/>
  <c r="U206" i="6"/>
  <c r="V206" i="6"/>
  <c r="W206" i="6"/>
  <c r="X206" i="6"/>
  <c r="Y206" i="6"/>
  <c r="Z206" i="6"/>
  <c r="S207" i="6"/>
  <c r="T207" i="6"/>
  <c r="U207" i="6"/>
  <c r="V207" i="6"/>
  <c r="W207" i="6"/>
  <c r="X207" i="6"/>
  <c r="Y207" i="6"/>
  <c r="Z207" i="6"/>
  <c r="S208" i="6"/>
  <c r="T208" i="6"/>
  <c r="U208" i="6"/>
  <c r="V208" i="6"/>
  <c r="W208" i="6"/>
  <c r="X208" i="6"/>
  <c r="Y208" i="6"/>
  <c r="Z208" i="6"/>
  <c r="S209" i="6"/>
  <c r="T209" i="6"/>
  <c r="U209" i="6"/>
  <c r="V209" i="6"/>
  <c r="W209" i="6"/>
  <c r="X209" i="6"/>
  <c r="Y209" i="6"/>
  <c r="Z209" i="6"/>
  <c r="S210" i="6"/>
  <c r="T210" i="6"/>
  <c r="U210" i="6"/>
  <c r="V210" i="6"/>
  <c r="W210" i="6"/>
  <c r="X210" i="6"/>
  <c r="Y210" i="6"/>
  <c r="Z210" i="6"/>
  <c r="S211" i="6"/>
  <c r="T211" i="6"/>
  <c r="U211" i="6"/>
  <c r="V211" i="6"/>
  <c r="W211" i="6"/>
  <c r="X211" i="6"/>
  <c r="Y211" i="6"/>
  <c r="Z211" i="6"/>
  <c r="S212" i="6"/>
  <c r="T212" i="6"/>
  <c r="U212" i="6"/>
  <c r="V212" i="6"/>
  <c r="W212" i="6"/>
  <c r="X212" i="6"/>
  <c r="Y212" i="6"/>
  <c r="Z212" i="6"/>
  <c r="S213" i="6"/>
  <c r="T213" i="6"/>
  <c r="U213" i="6"/>
  <c r="V213" i="6"/>
  <c r="W213" i="6"/>
  <c r="X213" i="6"/>
  <c r="Y213" i="6"/>
  <c r="Z213" i="6"/>
  <c r="S214" i="6"/>
  <c r="T214" i="6"/>
  <c r="U214" i="6"/>
  <c r="V214" i="6"/>
  <c r="W214" i="6"/>
  <c r="X214" i="6"/>
  <c r="Y214" i="6"/>
  <c r="Z214" i="6"/>
  <c r="S215" i="6"/>
  <c r="T215" i="6"/>
  <c r="U215" i="6"/>
  <c r="V215" i="6"/>
  <c r="W215" i="6"/>
  <c r="X215" i="6"/>
  <c r="Y215" i="6"/>
  <c r="Z215" i="6"/>
  <c r="S216" i="6"/>
  <c r="T216" i="6"/>
  <c r="U216" i="6"/>
  <c r="V216" i="6"/>
  <c r="W216" i="6"/>
  <c r="X216" i="6"/>
  <c r="Y216" i="6"/>
  <c r="Z216" i="6"/>
  <c r="S217" i="6"/>
  <c r="T217" i="6"/>
  <c r="U217" i="6"/>
  <c r="V217" i="6"/>
  <c r="W217" i="6"/>
  <c r="X217" i="6"/>
  <c r="Y217" i="6"/>
  <c r="Z217" i="6"/>
  <c r="S218" i="6"/>
  <c r="T218" i="6"/>
  <c r="U218" i="6"/>
  <c r="V218" i="6"/>
  <c r="W218" i="6"/>
  <c r="X218" i="6"/>
  <c r="Y218" i="6"/>
  <c r="Z218" i="6"/>
  <c r="S219" i="6"/>
  <c r="T219" i="6"/>
  <c r="U219" i="6"/>
  <c r="V219" i="6"/>
  <c r="W219" i="6"/>
  <c r="X219" i="6"/>
  <c r="Y219" i="6"/>
  <c r="Z219" i="6"/>
  <c r="S220" i="6"/>
  <c r="T220" i="6"/>
  <c r="U220" i="6"/>
  <c r="V220" i="6"/>
  <c r="W220" i="6"/>
  <c r="X220" i="6"/>
  <c r="Y220" i="6"/>
  <c r="Z220" i="6"/>
  <c r="S221" i="6"/>
  <c r="T221" i="6"/>
  <c r="U221" i="6"/>
  <c r="V221" i="6"/>
  <c r="W221" i="6"/>
  <c r="X221" i="6"/>
  <c r="Y221" i="6"/>
  <c r="Z221" i="6"/>
  <c r="S222" i="6"/>
  <c r="T222" i="6"/>
  <c r="U222" i="6"/>
  <c r="V222" i="6"/>
  <c r="W222" i="6"/>
  <c r="X222" i="6"/>
  <c r="Y222" i="6"/>
  <c r="Z222" i="6"/>
  <c r="S223" i="6"/>
  <c r="T223" i="6"/>
  <c r="U223" i="6"/>
  <c r="V223" i="6"/>
  <c r="W223" i="6"/>
  <c r="X223" i="6"/>
  <c r="Y223" i="6"/>
  <c r="Z223" i="6"/>
  <c r="S224" i="6"/>
  <c r="T224" i="6"/>
  <c r="U224" i="6"/>
  <c r="V224" i="6"/>
  <c r="W224" i="6"/>
  <c r="X224" i="6"/>
  <c r="Y224" i="6"/>
  <c r="Z224" i="6"/>
  <c r="S225" i="6"/>
  <c r="T225" i="6"/>
  <c r="U225" i="6"/>
  <c r="V225" i="6"/>
  <c r="W225" i="6"/>
  <c r="X225" i="6"/>
  <c r="Y225" i="6"/>
  <c r="Z225" i="6"/>
  <c r="S226" i="6"/>
  <c r="T226" i="6"/>
  <c r="U226" i="6"/>
  <c r="V226" i="6"/>
  <c r="W226" i="6"/>
  <c r="X226" i="6"/>
  <c r="Y226" i="6"/>
  <c r="Z226" i="6"/>
  <c r="S227" i="6"/>
  <c r="T227" i="6"/>
  <c r="U227" i="6"/>
  <c r="V227" i="6"/>
  <c r="W227" i="6"/>
  <c r="X227" i="6"/>
  <c r="Y227" i="6"/>
  <c r="Z227" i="6"/>
  <c r="S228" i="6"/>
  <c r="T228" i="6"/>
  <c r="U228" i="6"/>
  <c r="V228" i="6"/>
  <c r="W228" i="6"/>
  <c r="X228" i="6"/>
  <c r="Y228" i="6"/>
  <c r="Z228" i="6"/>
  <c r="S229" i="6"/>
  <c r="T229" i="6"/>
  <c r="U229" i="6"/>
  <c r="V229" i="6"/>
  <c r="W229" i="6"/>
  <c r="X229" i="6"/>
  <c r="Y229" i="6"/>
  <c r="Z229" i="6"/>
  <c r="S230" i="6"/>
  <c r="T230" i="6"/>
  <c r="U230" i="6"/>
  <c r="V230" i="6"/>
  <c r="W230" i="6"/>
  <c r="X230" i="6"/>
  <c r="Y230" i="6"/>
  <c r="Z230" i="6"/>
  <c r="S231" i="6"/>
  <c r="T231" i="6"/>
  <c r="U231" i="6"/>
  <c r="V231" i="6"/>
  <c r="W231" i="6"/>
  <c r="X231" i="6"/>
  <c r="Y231" i="6"/>
  <c r="Z231" i="6"/>
  <c r="S232" i="6"/>
  <c r="T232" i="6"/>
  <c r="U232" i="6"/>
  <c r="V232" i="6"/>
  <c r="W232" i="6"/>
  <c r="X232" i="6"/>
  <c r="Y232" i="6"/>
  <c r="Z232" i="6"/>
  <c r="S233" i="6"/>
  <c r="T233" i="6"/>
  <c r="U233" i="6"/>
  <c r="V233" i="6"/>
  <c r="W233" i="6"/>
  <c r="X233" i="6"/>
  <c r="Y233" i="6"/>
  <c r="Z233" i="6"/>
  <c r="S234" i="6"/>
  <c r="T234" i="6"/>
  <c r="U234" i="6"/>
  <c r="V234" i="6"/>
  <c r="W234" i="6"/>
  <c r="X234" i="6"/>
  <c r="Y234" i="6"/>
  <c r="Z234" i="6"/>
  <c r="S235" i="6"/>
  <c r="T235" i="6"/>
  <c r="U235" i="6"/>
  <c r="V235" i="6"/>
  <c r="W235" i="6"/>
  <c r="X235" i="6"/>
  <c r="Y235" i="6"/>
  <c r="Z235" i="6"/>
  <c r="S236" i="6"/>
  <c r="T236" i="6"/>
  <c r="U236" i="6"/>
  <c r="V236" i="6"/>
  <c r="W236" i="6"/>
  <c r="X236" i="6"/>
  <c r="Y236" i="6"/>
  <c r="Z236" i="6"/>
  <c r="S237" i="6"/>
  <c r="T237" i="6"/>
  <c r="U237" i="6"/>
  <c r="V237" i="6"/>
  <c r="W237" i="6"/>
  <c r="X237" i="6"/>
  <c r="Y237" i="6"/>
  <c r="Z237" i="6"/>
  <c r="S238" i="6"/>
  <c r="T238" i="6"/>
  <c r="U238" i="6"/>
  <c r="V238" i="6"/>
  <c r="W238" i="6"/>
  <c r="X238" i="6"/>
  <c r="Y238" i="6"/>
  <c r="Z238" i="6"/>
  <c r="S239" i="6"/>
  <c r="T239" i="6"/>
  <c r="U239" i="6"/>
  <c r="V239" i="6"/>
  <c r="W239" i="6"/>
  <c r="X239" i="6"/>
  <c r="Y239" i="6"/>
  <c r="Z239" i="6"/>
  <c r="S240" i="6"/>
  <c r="T240" i="6"/>
  <c r="U240" i="6"/>
  <c r="V240" i="6"/>
  <c r="W240" i="6"/>
  <c r="X240" i="6"/>
  <c r="Y240" i="6"/>
  <c r="Z240" i="6"/>
  <c r="S241" i="6"/>
  <c r="T241" i="6"/>
  <c r="U241" i="6"/>
  <c r="V241" i="6"/>
  <c r="W241" i="6"/>
  <c r="X241" i="6"/>
  <c r="Y241" i="6"/>
  <c r="Z241" i="6"/>
  <c r="S242" i="6"/>
  <c r="T242" i="6"/>
  <c r="U242" i="6"/>
  <c r="V242" i="6"/>
  <c r="W242" i="6"/>
  <c r="X242" i="6"/>
  <c r="Y242" i="6"/>
  <c r="Z242" i="6"/>
  <c r="S243" i="6"/>
  <c r="T243" i="6"/>
  <c r="U243" i="6"/>
  <c r="V243" i="6"/>
  <c r="W243" i="6"/>
  <c r="X243" i="6"/>
  <c r="Y243" i="6"/>
  <c r="Z243" i="6"/>
  <c r="S244" i="6"/>
  <c r="T244" i="6"/>
  <c r="U244" i="6"/>
  <c r="V244" i="6"/>
  <c r="W244" i="6"/>
  <c r="X244" i="6"/>
  <c r="Y244" i="6"/>
  <c r="Z244" i="6"/>
  <c r="S245" i="6"/>
  <c r="T245" i="6"/>
  <c r="U245" i="6"/>
  <c r="V245" i="6"/>
  <c r="W245" i="6"/>
  <c r="X245" i="6"/>
  <c r="Y245" i="6"/>
  <c r="Z245" i="6"/>
  <c r="S246" i="6"/>
  <c r="T246" i="6"/>
  <c r="U246" i="6"/>
  <c r="V246" i="6"/>
  <c r="W246" i="6"/>
  <c r="X246" i="6"/>
  <c r="Y246" i="6"/>
  <c r="Z246" i="6"/>
  <c r="S247" i="6"/>
  <c r="T247" i="6"/>
  <c r="U247" i="6"/>
  <c r="V247" i="6"/>
  <c r="W247" i="6"/>
  <c r="X247" i="6"/>
  <c r="Y247" i="6"/>
  <c r="Z247" i="6"/>
  <c r="S248" i="6"/>
  <c r="T248" i="6"/>
  <c r="U248" i="6"/>
  <c r="V248" i="6"/>
  <c r="W248" i="6"/>
  <c r="X248" i="6"/>
  <c r="Y248" i="6"/>
  <c r="Z248" i="6"/>
  <c r="S249" i="6"/>
  <c r="T249" i="6"/>
  <c r="U249" i="6"/>
  <c r="V249" i="6"/>
  <c r="W249" i="6"/>
  <c r="X249" i="6"/>
  <c r="Y249" i="6"/>
  <c r="Z249" i="6"/>
  <c r="S250" i="6"/>
  <c r="T250" i="6"/>
  <c r="U250" i="6"/>
  <c r="V250" i="6"/>
  <c r="W250" i="6"/>
  <c r="X250" i="6"/>
  <c r="Y250" i="6"/>
  <c r="Z250" i="6"/>
  <c r="S251" i="6"/>
  <c r="T251" i="6"/>
  <c r="U251" i="6"/>
  <c r="V251" i="6"/>
  <c r="W251" i="6"/>
  <c r="X251" i="6"/>
  <c r="Y251" i="6"/>
  <c r="Z251" i="6"/>
  <c r="S252" i="6"/>
  <c r="T252" i="6"/>
  <c r="U252" i="6"/>
  <c r="V252" i="6"/>
  <c r="W252" i="6"/>
  <c r="X252" i="6"/>
  <c r="Y252" i="6"/>
  <c r="Z252" i="6"/>
  <c r="S253" i="6"/>
  <c r="T253" i="6"/>
  <c r="U253" i="6"/>
  <c r="V253" i="6"/>
  <c r="W253" i="6"/>
  <c r="X253" i="6"/>
  <c r="Y253" i="6"/>
  <c r="Z253" i="6"/>
  <c r="S254" i="6"/>
  <c r="T254" i="6"/>
  <c r="U254" i="6"/>
  <c r="V254" i="6"/>
  <c r="W254" i="6"/>
  <c r="X254" i="6"/>
  <c r="Y254" i="6"/>
  <c r="Z254" i="6"/>
  <c r="S255" i="6"/>
  <c r="T255" i="6"/>
  <c r="U255" i="6"/>
  <c r="V255" i="6"/>
  <c r="W255" i="6"/>
  <c r="X255" i="6"/>
  <c r="Y255" i="6"/>
  <c r="Z255" i="6"/>
  <c r="S256" i="6"/>
  <c r="T256" i="6"/>
  <c r="U256" i="6"/>
  <c r="V256" i="6"/>
  <c r="W256" i="6"/>
  <c r="X256" i="6"/>
  <c r="Y256" i="6"/>
  <c r="Z256" i="6"/>
  <c r="S257" i="6"/>
  <c r="T257" i="6"/>
  <c r="U257" i="6"/>
  <c r="V257" i="6"/>
  <c r="W257" i="6"/>
  <c r="X257" i="6"/>
  <c r="Y257" i="6"/>
  <c r="Z257" i="6"/>
  <c r="S258" i="6"/>
  <c r="T258" i="6"/>
  <c r="U258" i="6"/>
  <c r="V258" i="6"/>
  <c r="W258" i="6"/>
  <c r="X258" i="6"/>
  <c r="Y258" i="6"/>
  <c r="Z258" i="6"/>
  <c r="S259" i="6"/>
  <c r="T259" i="6"/>
  <c r="U259" i="6"/>
  <c r="V259" i="6"/>
  <c r="W259" i="6"/>
  <c r="X259" i="6"/>
  <c r="Y259" i="6"/>
  <c r="Z259" i="6"/>
  <c r="S260" i="6"/>
  <c r="T260" i="6"/>
  <c r="U260" i="6"/>
  <c r="V260" i="6"/>
  <c r="W260" i="6"/>
  <c r="X260" i="6"/>
  <c r="Y260" i="6"/>
  <c r="Z260" i="6"/>
  <c r="S261" i="6"/>
  <c r="T261" i="6"/>
  <c r="U261" i="6"/>
  <c r="V261" i="6"/>
  <c r="W261" i="6"/>
  <c r="X261" i="6"/>
  <c r="Y261" i="6"/>
  <c r="Z261" i="6"/>
  <c r="S262" i="6"/>
  <c r="T262" i="6"/>
  <c r="U262" i="6"/>
  <c r="V262" i="6"/>
  <c r="W262" i="6"/>
  <c r="X262" i="6"/>
  <c r="Y262" i="6"/>
  <c r="Z262" i="6"/>
  <c r="S263" i="6"/>
  <c r="T263" i="6"/>
  <c r="U263" i="6"/>
  <c r="V263" i="6"/>
  <c r="W263" i="6"/>
  <c r="X263" i="6"/>
  <c r="Y263" i="6"/>
  <c r="Z263" i="6"/>
  <c r="S264" i="6"/>
  <c r="T264" i="6"/>
  <c r="U264" i="6"/>
  <c r="V264" i="6"/>
  <c r="W264" i="6"/>
  <c r="X264" i="6"/>
  <c r="Y264" i="6"/>
  <c r="Z264" i="6"/>
  <c r="S265" i="6"/>
  <c r="T265" i="6"/>
  <c r="U265" i="6"/>
  <c r="V265" i="6"/>
  <c r="W265" i="6"/>
  <c r="X265" i="6"/>
  <c r="Y265" i="6"/>
  <c r="Z265" i="6"/>
  <c r="S266" i="6"/>
  <c r="T266" i="6"/>
  <c r="U266" i="6"/>
  <c r="V266" i="6"/>
  <c r="W266" i="6"/>
  <c r="X266" i="6"/>
  <c r="Y266" i="6"/>
  <c r="Z266" i="6"/>
  <c r="S267" i="6"/>
  <c r="T267" i="6"/>
  <c r="U267" i="6"/>
  <c r="V267" i="6"/>
  <c r="W267" i="6"/>
  <c r="X267" i="6"/>
  <c r="Y267" i="6"/>
  <c r="Z267" i="6"/>
  <c r="S268" i="6"/>
  <c r="T268" i="6"/>
  <c r="U268" i="6"/>
  <c r="V268" i="6"/>
  <c r="W268" i="6"/>
  <c r="X268" i="6"/>
  <c r="Y268" i="6"/>
  <c r="Z268" i="6"/>
  <c r="S269" i="6"/>
  <c r="T269" i="6"/>
  <c r="U269" i="6"/>
  <c r="V269" i="6"/>
  <c r="W269" i="6"/>
  <c r="X269" i="6"/>
  <c r="Y269" i="6"/>
  <c r="Z269" i="6"/>
  <c r="S270" i="6"/>
  <c r="T270" i="6"/>
  <c r="U270" i="6"/>
  <c r="V270" i="6"/>
  <c r="W270" i="6"/>
  <c r="X270" i="6"/>
  <c r="Y270" i="6"/>
  <c r="Z270" i="6"/>
  <c r="S271" i="6"/>
  <c r="T271" i="6"/>
  <c r="U271" i="6"/>
  <c r="V271" i="6"/>
  <c r="W271" i="6"/>
  <c r="X271" i="6"/>
  <c r="Y271" i="6"/>
  <c r="Z271" i="6"/>
  <c r="S272" i="6"/>
  <c r="T272" i="6"/>
  <c r="U272" i="6"/>
  <c r="V272" i="6"/>
  <c r="W272" i="6"/>
  <c r="X272" i="6"/>
  <c r="Y272" i="6"/>
  <c r="Z272" i="6"/>
  <c r="S273" i="6"/>
  <c r="T273" i="6"/>
  <c r="U273" i="6"/>
  <c r="V273" i="6"/>
  <c r="W273" i="6"/>
  <c r="X273" i="6"/>
  <c r="Y273" i="6"/>
  <c r="Z273" i="6"/>
  <c r="S274" i="6"/>
  <c r="T274" i="6"/>
  <c r="U274" i="6"/>
  <c r="V274" i="6"/>
  <c r="W274" i="6"/>
  <c r="X274" i="6"/>
  <c r="Y274" i="6"/>
  <c r="Z274" i="6"/>
  <c r="S275" i="6"/>
  <c r="T275" i="6"/>
  <c r="U275" i="6"/>
  <c r="V275" i="6"/>
  <c r="W275" i="6"/>
  <c r="X275" i="6"/>
  <c r="Y275" i="6"/>
  <c r="Z275" i="6"/>
  <c r="S276" i="6"/>
  <c r="T276" i="6"/>
  <c r="U276" i="6"/>
  <c r="V276" i="6"/>
  <c r="W276" i="6"/>
  <c r="X276" i="6"/>
  <c r="Y276" i="6"/>
  <c r="Z276" i="6"/>
  <c r="S277" i="6"/>
  <c r="T277" i="6"/>
  <c r="U277" i="6"/>
  <c r="V277" i="6"/>
  <c r="W277" i="6"/>
  <c r="X277" i="6"/>
  <c r="Y277" i="6"/>
  <c r="Z277" i="6"/>
  <c r="S278" i="6"/>
  <c r="T278" i="6"/>
  <c r="U278" i="6"/>
  <c r="V278" i="6"/>
  <c r="W278" i="6"/>
  <c r="X278" i="6"/>
  <c r="Y278" i="6"/>
  <c r="Z278" i="6"/>
  <c r="S279" i="6"/>
  <c r="T279" i="6"/>
  <c r="U279" i="6"/>
  <c r="V279" i="6"/>
  <c r="W279" i="6"/>
  <c r="X279" i="6"/>
  <c r="Y279" i="6"/>
  <c r="Z279" i="6"/>
  <c r="S280" i="6"/>
  <c r="T280" i="6"/>
  <c r="U280" i="6"/>
  <c r="V280" i="6"/>
  <c r="W280" i="6"/>
  <c r="X280" i="6"/>
  <c r="Y280" i="6"/>
  <c r="Z280" i="6"/>
  <c r="S281" i="6"/>
  <c r="T281" i="6"/>
  <c r="U281" i="6"/>
  <c r="V281" i="6"/>
  <c r="W281" i="6"/>
  <c r="X281" i="6"/>
  <c r="Y281" i="6"/>
  <c r="Z281" i="6"/>
  <c r="S282" i="6"/>
  <c r="T282" i="6"/>
  <c r="U282" i="6"/>
  <c r="V282" i="6"/>
  <c r="W282" i="6"/>
  <c r="X282" i="6"/>
  <c r="Y282" i="6"/>
  <c r="Z282" i="6"/>
  <c r="S283" i="6"/>
  <c r="T283" i="6"/>
  <c r="U283" i="6"/>
  <c r="V283" i="6"/>
  <c r="W283" i="6"/>
  <c r="X283" i="6"/>
  <c r="Y283" i="6"/>
  <c r="Z283" i="6"/>
  <c r="S284" i="6"/>
  <c r="T284" i="6"/>
  <c r="U284" i="6"/>
  <c r="V284" i="6"/>
  <c r="W284" i="6"/>
  <c r="X284" i="6"/>
  <c r="Y284" i="6"/>
  <c r="Z284" i="6"/>
  <c r="S285" i="6"/>
  <c r="T285" i="6"/>
  <c r="U285" i="6"/>
  <c r="V285" i="6"/>
  <c r="W285" i="6"/>
  <c r="X285" i="6"/>
  <c r="Y285" i="6"/>
  <c r="Z285" i="6"/>
  <c r="S286" i="6"/>
  <c r="T286" i="6"/>
  <c r="U286" i="6"/>
  <c r="V286" i="6"/>
  <c r="W286" i="6"/>
  <c r="X286" i="6"/>
  <c r="Y286" i="6"/>
  <c r="Z286" i="6"/>
  <c r="S287" i="6"/>
  <c r="T287" i="6"/>
  <c r="U287" i="6"/>
  <c r="V287" i="6"/>
  <c r="W287" i="6"/>
  <c r="X287" i="6"/>
  <c r="Y287" i="6"/>
  <c r="Z287" i="6"/>
  <c r="S288" i="6"/>
  <c r="T288" i="6"/>
  <c r="U288" i="6"/>
  <c r="V288" i="6"/>
  <c r="W288" i="6"/>
  <c r="X288" i="6"/>
  <c r="Y288" i="6"/>
  <c r="Z288" i="6"/>
  <c r="S289" i="6"/>
  <c r="T289" i="6"/>
  <c r="U289" i="6"/>
  <c r="V289" i="6"/>
  <c r="W289" i="6"/>
  <c r="X289" i="6"/>
  <c r="Y289" i="6"/>
  <c r="Z289" i="6"/>
  <c r="S290" i="6"/>
  <c r="T290" i="6"/>
  <c r="U290" i="6"/>
  <c r="V290" i="6"/>
  <c r="W290" i="6"/>
  <c r="X290" i="6"/>
  <c r="Y290" i="6"/>
  <c r="Z290" i="6"/>
  <c r="S291" i="6"/>
  <c r="T291" i="6"/>
  <c r="U291" i="6"/>
  <c r="V291" i="6"/>
  <c r="W291" i="6"/>
  <c r="X291" i="6"/>
  <c r="Y291" i="6"/>
  <c r="Z291" i="6"/>
  <c r="S292" i="6"/>
  <c r="T292" i="6"/>
  <c r="U292" i="6"/>
  <c r="V292" i="6"/>
  <c r="W292" i="6"/>
  <c r="X292" i="6"/>
  <c r="Y292" i="6"/>
  <c r="Z292" i="6"/>
  <c r="S293" i="6"/>
  <c r="T293" i="6"/>
  <c r="U293" i="6"/>
  <c r="V293" i="6"/>
  <c r="W293" i="6"/>
  <c r="X293" i="6"/>
  <c r="Y293" i="6"/>
  <c r="Z293" i="6"/>
  <c r="S294" i="6"/>
  <c r="T294" i="6"/>
  <c r="U294" i="6"/>
  <c r="V294" i="6"/>
  <c r="W294" i="6"/>
  <c r="X294" i="6"/>
  <c r="Y294" i="6"/>
  <c r="Z294" i="6"/>
  <c r="S295" i="6"/>
  <c r="T295" i="6"/>
  <c r="U295" i="6"/>
  <c r="V295" i="6"/>
  <c r="W295" i="6"/>
  <c r="X295" i="6"/>
  <c r="Y295" i="6"/>
  <c r="Z295" i="6"/>
  <c r="S296" i="6"/>
  <c r="T296" i="6"/>
  <c r="U296" i="6"/>
  <c r="V296" i="6"/>
  <c r="W296" i="6"/>
  <c r="X296" i="6"/>
  <c r="Y296" i="6"/>
  <c r="Z296" i="6"/>
  <c r="S297" i="6"/>
  <c r="T297" i="6"/>
  <c r="U297" i="6"/>
  <c r="V297" i="6"/>
  <c r="W297" i="6"/>
  <c r="X297" i="6"/>
  <c r="Y297" i="6"/>
  <c r="Z297" i="6"/>
  <c r="S298" i="6"/>
  <c r="T298" i="6"/>
  <c r="U298" i="6"/>
  <c r="V298" i="6"/>
  <c r="W298" i="6"/>
  <c r="X298" i="6"/>
  <c r="Y298" i="6"/>
  <c r="Z298" i="6"/>
  <c r="S299" i="6"/>
  <c r="T299" i="6"/>
  <c r="U299" i="6"/>
  <c r="V299" i="6"/>
  <c r="W299" i="6"/>
  <c r="X299" i="6"/>
  <c r="Y299" i="6"/>
  <c r="Z299" i="6"/>
  <c r="S300" i="6"/>
  <c r="T300" i="6"/>
  <c r="U300" i="6"/>
  <c r="V300" i="6"/>
  <c r="W300" i="6"/>
  <c r="X300" i="6"/>
  <c r="Y300" i="6"/>
  <c r="Z300" i="6"/>
  <c r="S301" i="6"/>
  <c r="T301" i="6"/>
  <c r="U301" i="6"/>
  <c r="V301" i="6"/>
  <c r="W301" i="6"/>
  <c r="X301" i="6"/>
  <c r="Y301" i="6"/>
  <c r="Z301" i="6"/>
  <c r="T8" i="6"/>
  <c r="U8" i="6"/>
  <c r="V8" i="6"/>
  <c r="W8" i="6"/>
  <c r="X8" i="6"/>
  <c r="Y8" i="6"/>
  <c r="Z8" i="6"/>
  <c r="S8" i="6"/>
  <c r="M9" i="6" l="1"/>
  <c r="N9" i="6" s="1"/>
  <c r="M10" i="6"/>
  <c r="N10" i="6" s="1"/>
  <c r="M11" i="6"/>
  <c r="N11" i="6" s="1"/>
  <c r="M12" i="6"/>
  <c r="N12" i="6" s="1"/>
  <c r="M13" i="6"/>
  <c r="N13" i="6" s="1"/>
  <c r="M14" i="6"/>
  <c r="N14" i="6" s="1"/>
  <c r="M15" i="6"/>
  <c r="N15" i="6" s="1"/>
  <c r="M16" i="6"/>
  <c r="N16" i="6" s="1"/>
  <c r="M17" i="6"/>
  <c r="N17" i="6" s="1"/>
  <c r="M18" i="6"/>
  <c r="N18" i="6" s="1"/>
  <c r="M19" i="6"/>
  <c r="N19" i="6" s="1"/>
  <c r="M20" i="6"/>
  <c r="N20" i="6" s="1"/>
  <c r="M21" i="6"/>
  <c r="N21" i="6" s="1"/>
  <c r="M22" i="6"/>
  <c r="N22" i="6" s="1"/>
  <c r="M23" i="6"/>
  <c r="N23" i="6" s="1"/>
  <c r="M24" i="6"/>
  <c r="N24" i="6" s="1"/>
  <c r="M25" i="6"/>
  <c r="N25" i="6" s="1"/>
  <c r="M26" i="6"/>
  <c r="N26" i="6" s="1"/>
  <c r="M27" i="6"/>
  <c r="N27" i="6" s="1"/>
  <c r="M28" i="6"/>
  <c r="N28" i="6" s="1"/>
  <c r="M29" i="6"/>
  <c r="N29" i="6" s="1"/>
  <c r="M30" i="6"/>
  <c r="N30" i="6" s="1"/>
  <c r="M31" i="6"/>
  <c r="N31" i="6" s="1"/>
  <c r="M32" i="6"/>
  <c r="N32" i="6" s="1"/>
  <c r="M33" i="6"/>
  <c r="N33" i="6" s="1"/>
  <c r="M34" i="6"/>
  <c r="N34" i="6" s="1"/>
  <c r="M35" i="6"/>
  <c r="N35" i="6" s="1"/>
  <c r="M36" i="6"/>
  <c r="N36" i="6" s="1"/>
  <c r="M37" i="6"/>
  <c r="N37" i="6" s="1"/>
  <c r="M38" i="6"/>
  <c r="N38" i="6" s="1"/>
  <c r="M39" i="6"/>
  <c r="N39" i="6" s="1"/>
  <c r="M40" i="6"/>
  <c r="N40" i="6" s="1"/>
  <c r="M41" i="6"/>
  <c r="N41" i="6" s="1"/>
  <c r="M42" i="6"/>
  <c r="N42" i="6" s="1"/>
  <c r="M43" i="6"/>
  <c r="N43" i="6" s="1"/>
  <c r="M44" i="6"/>
  <c r="N44" i="6" s="1"/>
  <c r="M45" i="6"/>
  <c r="N45" i="6" s="1"/>
  <c r="M46" i="6"/>
  <c r="N46" i="6" s="1"/>
  <c r="M47" i="6"/>
  <c r="N47" i="6" s="1"/>
  <c r="M48" i="6"/>
  <c r="N48" i="6" s="1"/>
  <c r="M49" i="6"/>
  <c r="N49" i="6" s="1"/>
  <c r="M50" i="6"/>
  <c r="N50" i="6" s="1"/>
  <c r="M51" i="6"/>
  <c r="N51" i="6" s="1"/>
  <c r="M52" i="6"/>
  <c r="N52" i="6" s="1"/>
  <c r="M53" i="6"/>
  <c r="N53" i="6" s="1"/>
  <c r="M54" i="6"/>
  <c r="N54" i="6" s="1"/>
  <c r="M55" i="6"/>
  <c r="N55" i="6" s="1"/>
  <c r="M56" i="6"/>
  <c r="N56" i="6" s="1"/>
  <c r="M57" i="6"/>
  <c r="N57" i="6" s="1"/>
  <c r="M58" i="6"/>
  <c r="N58" i="6" s="1"/>
  <c r="M59" i="6"/>
  <c r="N59" i="6" s="1"/>
  <c r="M60" i="6"/>
  <c r="N60" i="6" s="1"/>
  <c r="M61" i="6"/>
  <c r="N61" i="6" s="1"/>
  <c r="M62" i="6"/>
  <c r="N62" i="6" s="1"/>
  <c r="M63" i="6"/>
  <c r="N63" i="6" s="1"/>
  <c r="M64" i="6"/>
  <c r="N64" i="6" s="1"/>
  <c r="M65" i="6"/>
  <c r="N65" i="6" s="1"/>
  <c r="M66" i="6"/>
  <c r="N66" i="6" s="1"/>
  <c r="M67" i="6"/>
  <c r="N67" i="6" s="1"/>
  <c r="M68" i="6"/>
  <c r="N68" i="6" s="1"/>
  <c r="M69" i="6"/>
  <c r="N69" i="6" s="1"/>
  <c r="M70" i="6"/>
  <c r="N70" i="6" s="1"/>
  <c r="M71" i="6"/>
  <c r="N71" i="6" s="1"/>
  <c r="M72" i="6"/>
  <c r="N72" i="6" s="1"/>
  <c r="M73" i="6"/>
  <c r="N73" i="6" s="1"/>
  <c r="M74" i="6"/>
  <c r="N74" i="6" s="1"/>
  <c r="M75" i="6"/>
  <c r="N75" i="6" s="1"/>
  <c r="M76" i="6"/>
  <c r="N76" i="6" s="1"/>
  <c r="M77" i="6"/>
  <c r="N77" i="6" s="1"/>
  <c r="M78" i="6"/>
  <c r="N78" i="6" s="1"/>
  <c r="M79" i="6"/>
  <c r="N79" i="6" s="1"/>
  <c r="M80" i="6"/>
  <c r="N80" i="6" s="1"/>
  <c r="M81" i="6"/>
  <c r="N81" i="6" s="1"/>
  <c r="M82" i="6"/>
  <c r="N82" i="6" s="1"/>
  <c r="M83" i="6"/>
  <c r="N83" i="6" s="1"/>
  <c r="M84" i="6"/>
  <c r="N84" i="6" s="1"/>
  <c r="M85" i="6"/>
  <c r="N85" i="6" s="1"/>
  <c r="M86" i="6"/>
  <c r="N86" i="6" s="1"/>
  <c r="M87" i="6"/>
  <c r="N87" i="6" s="1"/>
  <c r="M88" i="6"/>
  <c r="N88" i="6" s="1"/>
  <c r="M89" i="6"/>
  <c r="N89" i="6" s="1"/>
  <c r="M90" i="6"/>
  <c r="N90" i="6" s="1"/>
  <c r="M91" i="6"/>
  <c r="N91" i="6" s="1"/>
  <c r="M92" i="6"/>
  <c r="N92" i="6" s="1"/>
  <c r="M93" i="6"/>
  <c r="N93" i="6" s="1"/>
  <c r="M94" i="6"/>
  <c r="N94" i="6" s="1"/>
  <c r="M95" i="6"/>
  <c r="N95" i="6" s="1"/>
  <c r="M96" i="6"/>
  <c r="N96" i="6" s="1"/>
  <c r="M97" i="6"/>
  <c r="N97" i="6" s="1"/>
  <c r="M98" i="6"/>
  <c r="N98" i="6" s="1"/>
  <c r="M99" i="6"/>
  <c r="N99" i="6" s="1"/>
  <c r="M100" i="6"/>
  <c r="N100" i="6" s="1"/>
  <c r="M101" i="6"/>
  <c r="N101" i="6" s="1"/>
  <c r="M102" i="6"/>
  <c r="N102" i="6" s="1"/>
  <c r="M103" i="6"/>
  <c r="N103" i="6" s="1"/>
  <c r="M104" i="6"/>
  <c r="N104" i="6" s="1"/>
  <c r="M105" i="6"/>
  <c r="N105" i="6" s="1"/>
  <c r="M106" i="6"/>
  <c r="N106" i="6" s="1"/>
  <c r="M107" i="6"/>
  <c r="N107" i="6" s="1"/>
  <c r="M108" i="6"/>
  <c r="N108" i="6" s="1"/>
  <c r="M109" i="6"/>
  <c r="N109" i="6" s="1"/>
  <c r="M110" i="6"/>
  <c r="N110" i="6" s="1"/>
  <c r="M111" i="6"/>
  <c r="N111" i="6" s="1"/>
  <c r="M112" i="6"/>
  <c r="N112" i="6" s="1"/>
  <c r="M113" i="6"/>
  <c r="N113" i="6" s="1"/>
  <c r="M114" i="6"/>
  <c r="N114" i="6" s="1"/>
  <c r="M115" i="6"/>
  <c r="N115" i="6" s="1"/>
  <c r="M116" i="6"/>
  <c r="N116" i="6" s="1"/>
  <c r="M117" i="6"/>
  <c r="N117" i="6" s="1"/>
  <c r="M118" i="6"/>
  <c r="N118" i="6" s="1"/>
  <c r="M119" i="6"/>
  <c r="N119" i="6" s="1"/>
  <c r="M120" i="6"/>
  <c r="N120" i="6" s="1"/>
  <c r="M121" i="6"/>
  <c r="N121" i="6" s="1"/>
  <c r="M122" i="6"/>
  <c r="N122" i="6" s="1"/>
  <c r="M123" i="6"/>
  <c r="N123" i="6" s="1"/>
  <c r="M124" i="6"/>
  <c r="N124" i="6" s="1"/>
  <c r="M125" i="6"/>
  <c r="N125" i="6" s="1"/>
  <c r="M126" i="6"/>
  <c r="N126" i="6" s="1"/>
  <c r="M127" i="6"/>
  <c r="N127" i="6" s="1"/>
  <c r="M128" i="6"/>
  <c r="N128" i="6" s="1"/>
  <c r="M129" i="6"/>
  <c r="N129" i="6" s="1"/>
  <c r="M130" i="6"/>
  <c r="N130" i="6" s="1"/>
  <c r="M131" i="6"/>
  <c r="N131" i="6" s="1"/>
  <c r="M132" i="6"/>
  <c r="N132" i="6" s="1"/>
  <c r="M133" i="6"/>
  <c r="N133" i="6" s="1"/>
  <c r="M134" i="6"/>
  <c r="N134" i="6" s="1"/>
  <c r="M135" i="6"/>
  <c r="N135" i="6" s="1"/>
  <c r="M136" i="6"/>
  <c r="N136" i="6" s="1"/>
  <c r="M137" i="6"/>
  <c r="N137" i="6" s="1"/>
  <c r="M138" i="6"/>
  <c r="N138" i="6" s="1"/>
  <c r="M139" i="6"/>
  <c r="N139" i="6" s="1"/>
  <c r="M140" i="6"/>
  <c r="N140" i="6" s="1"/>
  <c r="M141" i="6"/>
  <c r="N141" i="6" s="1"/>
  <c r="M142" i="6"/>
  <c r="N142" i="6" s="1"/>
  <c r="M143" i="6"/>
  <c r="N143" i="6" s="1"/>
  <c r="M144" i="6"/>
  <c r="N144" i="6" s="1"/>
  <c r="M145" i="6"/>
  <c r="N145" i="6" s="1"/>
  <c r="M146" i="6"/>
  <c r="N146" i="6" s="1"/>
  <c r="M147" i="6"/>
  <c r="N147" i="6" s="1"/>
  <c r="M148" i="6"/>
  <c r="N148" i="6" s="1"/>
  <c r="M149" i="6"/>
  <c r="N149" i="6" s="1"/>
  <c r="M150" i="6"/>
  <c r="N150" i="6" s="1"/>
  <c r="M151" i="6"/>
  <c r="N151" i="6" s="1"/>
  <c r="M152" i="6"/>
  <c r="N152" i="6" s="1"/>
  <c r="M153" i="6"/>
  <c r="N153" i="6" s="1"/>
  <c r="M154" i="6"/>
  <c r="N154" i="6" s="1"/>
  <c r="M155" i="6"/>
  <c r="N155" i="6" s="1"/>
  <c r="M156" i="6"/>
  <c r="N156" i="6" s="1"/>
  <c r="M157" i="6"/>
  <c r="N157" i="6" s="1"/>
  <c r="M158" i="6"/>
  <c r="N158" i="6" s="1"/>
  <c r="M159" i="6"/>
  <c r="N159" i="6" s="1"/>
  <c r="M160" i="6"/>
  <c r="N160" i="6" s="1"/>
  <c r="M161" i="6"/>
  <c r="N161" i="6" s="1"/>
  <c r="M162" i="6"/>
  <c r="N162" i="6" s="1"/>
  <c r="M163" i="6"/>
  <c r="N163" i="6" s="1"/>
  <c r="M164" i="6"/>
  <c r="N164" i="6" s="1"/>
  <c r="M165" i="6"/>
  <c r="N165" i="6" s="1"/>
  <c r="M166" i="6"/>
  <c r="N166" i="6" s="1"/>
  <c r="M167" i="6"/>
  <c r="N167" i="6" s="1"/>
  <c r="M168" i="6"/>
  <c r="N168" i="6" s="1"/>
  <c r="M169" i="6"/>
  <c r="N169" i="6" s="1"/>
  <c r="M170" i="6"/>
  <c r="N170" i="6" s="1"/>
  <c r="M171" i="6"/>
  <c r="N171" i="6" s="1"/>
  <c r="M172" i="6"/>
  <c r="N172" i="6" s="1"/>
  <c r="M173" i="6"/>
  <c r="N173" i="6" s="1"/>
  <c r="M174" i="6"/>
  <c r="N174" i="6" s="1"/>
  <c r="M175" i="6"/>
  <c r="N175" i="6" s="1"/>
  <c r="M176" i="6"/>
  <c r="N176" i="6" s="1"/>
  <c r="M177" i="6"/>
  <c r="N177" i="6" s="1"/>
  <c r="M178" i="6"/>
  <c r="N178" i="6" s="1"/>
  <c r="M179" i="6"/>
  <c r="N179" i="6" s="1"/>
  <c r="M180" i="6"/>
  <c r="N180" i="6" s="1"/>
  <c r="M181" i="6"/>
  <c r="N181" i="6" s="1"/>
  <c r="M182" i="6"/>
  <c r="N182" i="6" s="1"/>
  <c r="M183" i="6"/>
  <c r="N183" i="6" s="1"/>
  <c r="M184" i="6"/>
  <c r="N184" i="6" s="1"/>
  <c r="M185" i="6"/>
  <c r="N185" i="6" s="1"/>
  <c r="M186" i="6"/>
  <c r="N186" i="6" s="1"/>
  <c r="M187" i="6"/>
  <c r="N187" i="6" s="1"/>
  <c r="M188" i="6"/>
  <c r="N188" i="6" s="1"/>
  <c r="M189" i="6"/>
  <c r="N189" i="6" s="1"/>
  <c r="M190" i="6"/>
  <c r="N190" i="6" s="1"/>
  <c r="M191" i="6"/>
  <c r="N191" i="6" s="1"/>
  <c r="M192" i="6"/>
  <c r="N192" i="6" s="1"/>
  <c r="M193" i="6"/>
  <c r="N193" i="6" s="1"/>
  <c r="M194" i="6"/>
  <c r="N194" i="6" s="1"/>
  <c r="M195" i="6"/>
  <c r="N195" i="6" s="1"/>
  <c r="M196" i="6"/>
  <c r="N196" i="6" s="1"/>
  <c r="M197" i="6"/>
  <c r="N197" i="6" s="1"/>
  <c r="M198" i="6"/>
  <c r="N198" i="6" s="1"/>
  <c r="M199" i="6"/>
  <c r="N199" i="6" s="1"/>
  <c r="M200" i="6"/>
  <c r="N200" i="6" s="1"/>
  <c r="M201" i="6"/>
  <c r="N201" i="6" s="1"/>
  <c r="M202" i="6"/>
  <c r="N202" i="6" s="1"/>
  <c r="M203" i="6"/>
  <c r="N203" i="6" s="1"/>
  <c r="M204" i="6"/>
  <c r="N204" i="6" s="1"/>
  <c r="M205" i="6"/>
  <c r="N205" i="6" s="1"/>
  <c r="M206" i="6"/>
  <c r="N206" i="6" s="1"/>
  <c r="M207" i="6"/>
  <c r="N207" i="6" s="1"/>
  <c r="M208" i="6"/>
  <c r="N208" i="6" s="1"/>
  <c r="M209" i="6"/>
  <c r="N209" i="6" s="1"/>
  <c r="M210" i="6"/>
  <c r="N210" i="6" s="1"/>
  <c r="M211" i="6"/>
  <c r="N211" i="6" s="1"/>
  <c r="M212" i="6"/>
  <c r="N212" i="6" s="1"/>
  <c r="M213" i="6"/>
  <c r="N213" i="6" s="1"/>
  <c r="M214" i="6"/>
  <c r="N214" i="6" s="1"/>
  <c r="M215" i="6"/>
  <c r="N215" i="6" s="1"/>
  <c r="M216" i="6"/>
  <c r="N216" i="6" s="1"/>
  <c r="M217" i="6"/>
  <c r="N217" i="6" s="1"/>
  <c r="M218" i="6"/>
  <c r="N218" i="6" s="1"/>
  <c r="M219" i="6"/>
  <c r="N219" i="6" s="1"/>
  <c r="M220" i="6"/>
  <c r="N220" i="6" s="1"/>
  <c r="M221" i="6"/>
  <c r="N221" i="6" s="1"/>
  <c r="M222" i="6"/>
  <c r="N222" i="6" s="1"/>
  <c r="M223" i="6"/>
  <c r="N223" i="6" s="1"/>
  <c r="M224" i="6"/>
  <c r="N224" i="6" s="1"/>
  <c r="M225" i="6"/>
  <c r="N225" i="6" s="1"/>
  <c r="M226" i="6"/>
  <c r="N226" i="6" s="1"/>
  <c r="M227" i="6"/>
  <c r="N227" i="6" s="1"/>
  <c r="M228" i="6"/>
  <c r="N228" i="6" s="1"/>
  <c r="M229" i="6"/>
  <c r="N229" i="6" s="1"/>
  <c r="M230" i="6"/>
  <c r="N230" i="6" s="1"/>
  <c r="M231" i="6"/>
  <c r="N231" i="6" s="1"/>
  <c r="M232" i="6"/>
  <c r="N232" i="6" s="1"/>
  <c r="M233" i="6"/>
  <c r="N233" i="6" s="1"/>
  <c r="M234" i="6"/>
  <c r="N234" i="6" s="1"/>
  <c r="M235" i="6"/>
  <c r="N235" i="6" s="1"/>
  <c r="M236" i="6"/>
  <c r="N236" i="6" s="1"/>
  <c r="M237" i="6"/>
  <c r="N237" i="6" s="1"/>
  <c r="M238" i="6"/>
  <c r="N238" i="6" s="1"/>
  <c r="M239" i="6"/>
  <c r="N239" i="6" s="1"/>
  <c r="M240" i="6"/>
  <c r="N240" i="6" s="1"/>
  <c r="M241" i="6"/>
  <c r="N241" i="6" s="1"/>
  <c r="M242" i="6"/>
  <c r="N242" i="6" s="1"/>
  <c r="M243" i="6"/>
  <c r="N243" i="6" s="1"/>
  <c r="M244" i="6"/>
  <c r="N244" i="6" s="1"/>
  <c r="M245" i="6"/>
  <c r="N245" i="6" s="1"/>
  <c r="M246" i="6"/>
  <c r="N246" i="6" s="1"/>
  <c r="M247" i="6"/>
  <c r="N247" i="6" s="1"/>
  <c r="M248" i="6"/>
  <c r="N248" i="6" s="1"/>
  <c r="M249" i="6"/>
  <c r="N249" i="6" s="1"/>
  <c r="M250" i="6"/>
  <c r="N250" i="6" s="1"/>
  <c r="M251" i="6"/>
  <c r="N251" i="6" s="1"/>
  <c r="M252" i="6"/>
  <c r="N252" i="6" s="1"/>
  <c r="M253" i="6"/>
  <c r="N253" i="6" s="1"/>
  <c r="M254" i="6"/>
  <c r="N254" i="6" s="1"/>
  <c r="M255" i="6"/>
  <c r="N255" i="6" s="1"/>
  <c r="M256" i="6"/>
  <c r="N256" i="6" s="1"/>
  <c r="M257" i="6"/>
  <c r="N257" i="6" s="1"/>
  <c r="M258" i="6"/>
  <c r="N258" i="6" s="1"/>
  <c r="M259" i="6"/>
  <c r="N259" i="6" s="1"/>
  <c r="M260" i="6"/>
  <c r="N260" i="6" s="1"/>
  <c r="M261" i="6"/>
  <c r="N261" i="6" s="1"/>
  <c r="M262" i="6"/>
  <c r="N262" i="6" s="1"/>
  <c r="M263" i="6"/>
  <c r="N263" i="6" s="1"/>
  <c r="M264" i="6"/>
  <c r="N264" i="6" s="1"/>
  <c r="M265" i="6"/>
  <c r="N265" i="6" s="1"/>
  <c r="M266" i="6"/>
  <c r="N266" i="6" s="1"/>
  <c r="M267" i="6"/>
  <c r="N267" i="6" s="1"/>
  <c r="M268" i="6"/>
  <c r="N268" i="6" s="1"/>
  <c r="M269" i="6"/>
  <c r="N269" i="6" s="1"/>
  <c r="M270" i="6"/>
  <c r="N270" i="6" s="1"/>
  <c r="M271" i="6"/>
  <c r="N271" i="6" s="1"/>
  <c r="M272" i="6"/>
  <c r="N272" i="6" s="1"/>
  <c r="M273" i="6"/>
  <c r="N273" i="6" s="1"/>
  <c r="M274" i="6"/>
  <c r="N274" i="6" s="1"/>
  <c r="M275" i="6"/>
  <c r="N275" i="6" s="1"/>
  <c r="M276" i="6"/>
  <c r="N276" i="6" s="1"/>
  <c r="M277" i="6"/>
  <c r="N277" i="6" s="1"/>
  <c r="M278" i="6"/>
  <c r="N278" i="6" s="1"/>
  <c r="M279" i="6"/>
  <c r="N279" i="6" s="1"/>
  <c r="M280" i="6"/>
  <c r="N280" i="6" s="1"/>
  <c r="M281" i="6"/>
  <c r="N281" i="6" s="1"/>
  <c r="M282" i="6"/>
  <c r="N282" i="6" s="1"/>
  <c r="M283" i="6"/>
  <c r="N283" i="6" s="1"/>
  <c r="M284" i="6"/>
  <c r="N284" i="6" s="1"/>
  <c r="M285" i="6"/>
  <c r="N285" i="6" s="1"/>
  <c r="M286" i="6"/>
  <c r="N286" i="6" s="1"/>
  <c r="M287" i="6"/>
  <c r="N287" i="6" s="1"/>
  <c r="M288" i="6"/>
  <c r="N288" i="6" s="1"/>
  <c r="M289" i="6"/>
  <c r="N289" i="6" s="1"/>
  <c r="M290" i="6"/>
  <c r="N290" i="6" s="1"/>
  <c r="M291" i="6"/>
  <c r="N291" i="6" s="1"/>
  <c r="M292" i="6"/>
  <c r="N292" i="6" s="1"/>
  <c r="M293" i="6"/>
  <c r="N293" i="6" s="1"/>
  <c r="M294" i="6"/>
  <c r="N294" i="6" s="1"/>
  <c r="M295" i="6"/>
  <c r="N295" i="6" s="1"/>
  <c r="M296" i="6"/>
  <c r="N296" i="6" s="1"/>
  <c r="M297" i="6"/>
  <c r="N297" i="6" s="1"/>
  <c r="M298" i="6"/>
  <c r="N298" i="6" s="1"/>
  <c r="M299" i="6"/>
  <c r="N299" i="6" s="1"/>
  <c r="M300" i="6"/>
  <c r="N300" i="6" s="1"/>
  <c r="M301" i="6"/>
  <c r="N301" i="6" s="1"/>
  <c r="M8" i="6"/>
  <c r="N8" i="6" s="1"/>
  <c r="I71" i="3" l="1"/>
  <c r="I70" i="3" l="1"/>
  <c r="J71" i="3" l="1"/>
  <c r="K71" i="3" s="1"/>
  <c r="L71" i="3" s="1"/>
  <c r="M71" i="3" s="1"/>
  <c r="J70" i="3"/>
  <c r="K70" i="3" s="1"/>
  <c r="L70" i="3" s="1"/>
  <c r="M70" i="3" s="1"/>
  <c r="C86" i="3" l="1"/>
  <c r="C116" i="3"/>
  <c r="A4" i="3" l="1"/>
  <c r="J73" i="3"/>
  <c r="K73" i="3" s="1"/>
  <c r="L73" i="3" s="1"/>
  <c r="M73" i="3" s="1"/>
  <c r="J74" i="3"/>
  <c r="K74" i="3" s="1"/>
  <c r="L74" i="3" s="1"/>
  <c r="M74" i="3" s="1"/>
  <c r="J75" i="3"/>
  <c r="K75" i="3" s="1"/>
  <c r="L75" i="3" s="1"/>
  <c r="M75" i="3" s="1"/>
  <c r="J76" i="3"/>
  <c r="K76" i="3" s="1"/>
  <c r="L76" i="3" s="1"/>
  <c r="M76" i="3" s="1"/>
  <c r="D116" i="3"/>
  <c r="E116" i="3"/>
  <c r="F116" i="3"/>
  <c r="G116" i="3"/>
  <c r="H116" i="3"/>
  <c r="I116" i="3"/>
  <c r="J116" i="3"/>
  <c r="K116" i="3"/>
  <c r="L116" i="3"/>
  <c r="M116" i="3"/>
  <c r="B116" i="3"/>
  <c r="D86" i="3"/>
  <c r="E86" i="3"/>
  <c r="F86" i="3"/>
  <c r="G86" i="3"/>
  <c r="H86" i="3"/>
  <c r="I86" i="3"/>
  <c r="J86" i="3"/>
  <c r="K86" i="3"/>
  <c r="L86" i="3"/>
  <c r="M86" i="3"/>
  <c r="B86" i="3"/>
  <c r="M8" i="3" l="1"/>
  <c r="B14" i="3"/>
  <c r="C14" i="3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G8" i="3"/>
  <c r="D8" i="3"/>
  <c r="F8" i="3"/>
  <c r="E8" i="3"/>
  <c r="K8" i="3"/>
  <c r="I8" i="3"/>
  <c r="H8" i="3"/>
  <c r="L8" i="3"/>
  <c r="J8" i="3"/>
  <c r="C44" i="3"/>
  <c r="B44" i="3"/>
  <c r="B42" i="3"/>
  <c r="C47" i="3"/>
  <c r="C46" i="3"/>
  <c r="C42" i="3"/>
  <c r="C45" i="3"/>
  <c r="C57" i="3"/>
  <c r="B58" i="3"/>
  <c r="C58" i="3"/>
  <c r="B57" i="3"/>
  <c r="H20" i="3"/>
  <c r="G20" i="3"/>
  <c r="D9" i="3"/>
  <c r="F20" i="3"/>
  <c r="E9" i="3"/>
  <c r="E20" i="3"/>
  <c r="D20" i="3"/>
  <c r="B47" i="3"/>
  <c r="D47" i="3" s="1"/>
  <c r="B46" i="3"/>
  <c r="D46" i="3" s="1"/>
  <c r="B45" i="3"/>
  <c r="D45" i="3" s="1"/>
  <c r="E57" i="3"/>
  <c r="F57" i="3" s="1"/>
  <c r="C19" i="3"/>
  <c r="B63" i="3"/>
  <c r="C9" i="3"/>
  <c r="C25" i="3"/>
  <c r="D25" i="3" s="1"/>
  <c r="E25" i="3" s="1"/>
  <c r="F25" i="3" s="1"/>
  <c r="C28" i="3"/>
  <c r="D28" i="3" s="1"/>
  <c r="E28" i="3" s="1"/>
  <c r="F28" i="3" s="1"/>
  <c r="G28" i="3" s="1"/>
  <c r="H28" i="3" s="1"/>
  <c r="I28" i="3" s="1"/>
  <c r="J28" i="3" s="1"/>
  <c r="K28" i="3" s="1"/>
  <c r="L28" i="3" s="1"/>
  <c r="M28" i="3" s="1"/>
  <c r="C30" i="3"/>
  <c r="C32" i="3"/>
  <c r="D32" i="3" s="1"/>
  <c r="E32" i="3" s="1"/>
  <c r="F32" i="3" s="1"/>
  <c r="C34" i="3"/>
  <c r="D34" i="3" s="1"/>
  <c r="E34" i="3" s="1"/>
  <c r="F34" i="3" s="1"/>
  <c r="C37" i="3"/>
  <c r="C63" i="3"/>
  <c r="C24" i="3"/>
  <c r="D24" i="3" s="1"/>
  <c r="E24" i="3" s="1"/>
  <c r="F24" i="3" s="1"/>
  <c r="C26" i="3"/>
  <c r="C29" i="3"/>
  <c r="C31" i="3"/>
  <c r="C33" i="3"/>
  <c r="D33" i="3" s="1"/>
  <c r="E33" i="3" s="1"/>
  <c r="F33" i="3" s="1"/>
  <c r="C35" i="3"/>
  <c r="C61" i="3"/>
  <c r="B37" i="3"/>
  <c r="B34" i="3"/>
  <c r="B32" i="3"/>
  <c r="B24" i="3"/>
  <c r="C20" i="3"/>
  <c r="C8" i="3"/>
  <c r="B35" i="3"/>
  <c r="B33" i="3"/>
  <c r="B31" i="3"/>
  <c r="B23" i="3"/>
  <c r="B16" i="3"/>
  <c r="C16" i="3"/>
  <c r="B25" i="3"/>
  <c r="C23" i="3"/>
  <c r="B22" i="3"/>
  <c r="B20" i="3"/>
  <c r="B12" i="3"/>
  <c r="B15" i="3" s="1"/>
  <c r="B17" i="3"/>
  <c r="B30" i="3"/>
  <c r="C17" i="3"/>
  <c r="D17" i="3" s="1"/>
  <c r="E17" i="3" s="1"/>
  <c r="B19" i="3"/>
  <c r="B9" i="3"/>
  <c r="B8" i="3"/>
  <c r="B13" i="3"/>
  <c r="B18" i="3"/>
  <c r="B26" i="3"/>
  <c r="C22" i="3"/>
  <c r="D22" i="3" s="1"/>
  <c r="E22" i="3" s="1"/>
  <c r="F22" i="3" s="1"/>
  <c r="C13" i="3"/>
  <c r="B28" i="3"/>
  <c r="B29" i="3"/>
  <c r="B61" i="3"/>
  <c r="C18" i="3"/>
  <c r="D18" i="3" s="1"/>
  <c r="E18" i="3" s="1"/>
  <c r="C12" i="3"/>
  <c r="C15" i="3" s="1"/>
  <c r="C147" i="3" l="1"/>
  <c r="B147" i="3"/>
  <c r="E45" i="3"/>
  <c r="E46" i="3"/>
  <c r="E47" i="3"/>
  <c r="F47" i="3" s="1"/>
  <c r="D76" i="3"/>
  <c r="B48" i="3"/>
  <c r="B50" i="3" s="1"/>
  <c r="B51" i="3" s="1"/>
  <c r="B65" i="3"/>
  <c r="B66" i="3" s="1"/>
  <c r="E76" i="3"/>
  <c r="D23" i="3"/>
  <c r="C65" i="3"/>
  <c r="C66" i="3" s="1"/>
  <c r="G76" i="3"/>
  <c r="H76" i="3"/>
  <c r="F76" i="3"/>
  <c r="F9" i="3"/>
  <c r="I20" i="3"/>
  <c r="J20" i="3" s="1"/>
  <c r="K20" i="3" s="1"/>
  <c r="L20" i="3" s="1"/>
  <c r="M20" i="3" s="1"/>
  <c r="D12" i="3"/>
  <c r="D15" i="3" s="1"/>
  <c r="C10" i="3"/>
  <c r="D11" i="3" s="1"/>
  <c r="D16" i="3" s="1"/>
  <c r="B43" i="3"/>
  <c r="C48" i="3"/>
  <c r="C50" i="3" s="1"/>
  <c r="C51" i="3" s="1"/>
  <c r="E42" i="3"/>
  <c r="F42" i="3" s="1"/>
  <c r="G42" i="3" s="1"/>
  <c r="H42" i="3" s="1"/>
  <c r="I42" i="3" s="1"/>
  <c r="J42" i="3" s="1"/>
  <c r="K42" i="3" s="1"/>
  <c r="L42" i="3" s="1"/>
  <c r="M42" i="3" s="1"/>
  <c r="B49" i="3"/>
  <c r="C27" i="3"/>
  <c r="C87" i="3" s="1"/>
  <c r="G33" i="3"/>
  <c r="H33" i="3" s="1"/>
  <c r="I33" i="3" s="1"/>
  <c r="J33" i="3" s="1"/>
  <c r="K33" i="3" s="1"/>
  <c r="L33" i="3" s="1"/>
  <c r="M33" i="3" s="1"/>
  <c r="G24" i="3"/>
  <c r="H24" i="3" s="1"/>
  <c r="I24" i="3" s="1"/>
  <c r="J24" i="3" s="1"/>
  <c r="K24" i="3" s="1"/>
  <c r="L24" i="3" s="1"/>
  <c r="M24" i="3" s="1"/>
  <c r="G32" i="3"/>
  <c r="H32" i="3" s="1"/>
  <c r="I32" i="3" s="1"/>
  <c r="J32" i="3" s="1"/>
  <c r="K32" i="3" s="1"/>
  <c r="L32" i="3" s="1"/>
  <c r="M32" i="3" s="1"/>
  <c r="G22" i="3"/>
  <c r="H22" i="3" s="1"/>
  <c r="I22" i="3" s="1"/>
  <c r="J22" i="3" s="1"/>
  <c r="K22" i="3" s="1"/>
  <c r="L22" i="3" s="1"/>
  <c r="M22" i="3" s="1"/>
  <c r="G57" i="3"/>
  <c r="H57" i="3" s="1"/>
  <c r="I57" i="3" s="1"/>
  <c r="J57" i="3" s="1"/>
  <c r="K57" i="3" s="1"/>
  <c r="L57" i="3" s="1"/>
  <c r="M57" i="3" s="1"/>
  <c r="G34" i="3"/>
  <c r="H34" i="3" s="1"/>
  <c r="I34" i="3" s="1"/>
  <c r="J34" i="3" s="1"/>
  <c r="K34" i="3" s="1"/>
  <c r="L34" i="3" s="1"/>
  <c r="M34" i="3" s="1"/>
  <c r="G25" i="3"/>
  <c r="H25" i="3" s="1"/>
  <c r="I25" i="3" s="1"/>
  <c r="J25" i="3" s="1"/>
  <c r="K25" i="3" s="1"/>
  <c r="L25" i="3" s="1"/>
  <c r="M25" i="3" s="1"/>
  <c r="B41" i="3"/>
  <c r="D59" i="3"/>
  <c r="C76" i="3"/>
  <c r="B10" i="3"/>
  <c r="B38" i="3"/>
  <c r="B148" i="3" s="1"/>
  <c r="C70" i="3"/>
  <c r="C43" i="3"/>
  <c r="C41" i="3"/>
  <c r="B88" i="3"/>
  <c r="D13" i="3"/>
  <c r="E13" i="3" s="1"/>
  <c r="F13" i="3" s="1"/>
  <c r="G13" i="3" s="1"/>
  <c r="H13" i="3" s="1"/>
  <c r="I13" i="3" s="1"/>
  <c r="J13" i="3" s="1"/>
  <c r="K13" i="3" s="1"/>
  <c r="L13" i="3" s="1"/>
  <c r="M13" i="3" s="1"/>
  <c r="C71" i="3"/>
  <c r="F17" i="3"/>
  <c r="G17" i="3" s="1"/>
  <c r="C74" i="3"/>
  <c r="C88" i="3"/>
  <c r="C64" i="3"/>
  <c r="C117" i="3" s="1"/>
  <c r="C38" i="3"/>
  <c r="C148" i="3" s="1"/>
  <c r="C62" i="3"/>
  <c r="C118" i="3" s="1"/>
  <c r="C73" i="3"/>
  <c r="F18" i="3"/>
  <c r="G18" i="3" s="1"/>
  <c r="H18" i="3" s="1"/>
  <c r="I18" i="3" s="1"/>
  <c r="J18" i="3" s="1"/>
  <c r="K18" i="3" s="1"/>
  <c r="L18" i="3" s="1"/>
  <c r="M18" i="3" s="1"/>
  <c r="C75" i="3"/>
  <c r="B27" i="3"/>
  <c r="B87" i="3" s="1"/>
  <c r="B64" i="3"/>
  <c r="B117" i="3" s="1"/>
  <c r="B62" i="3"/>
  <c r="B118" i="3" s="1"/>
  <c r="D48" i="3"/>
  <c r="B53" i="3" l="1"/>
  <c r="B89" i="3"/>
  <c r="F46" i="3"/>
  <c r="G46" i="3" s="1"/>
  <c r="G47" i="3"/>
  <c r="F45" i="3"/>
  <c r="G45" i="3" s="1"/>
  <c r="D72" i="3"/>
  <c r="E12" i="3"/>
  <c r="E15" i="3" s="1"/>
  <c r="G9" i="3"/>
  <c r="H9" i="3" s="1"/>
  <c r="D10" i="3"/>
  <c r="E11" i="3" s="1"/>
  <c r="E16" i="3" s="1"/>
  <c r="C53" i="3"/>
  <c r="C72" i="3"/>
  <c r="H17" i="3"/>
  <c r="I17" i="3" s="1"/>
  <c r="J17" i="3" s="1"/>
  <c r="K17" i="3" s="1"/>
  <c r="L17" i="3" s="1"/>
  <c r="M17" i="3" s="1"/>
  <c r="C119" i="3"/>
  <c r="C49" i="3"/>
  <c r="C89" i="3"/>
  <c r="B119" i="3"/>
  <c r="D88" i="3"/>
  <c r="E48" i="3"/>
  <c r="D43" i="3"/>
  <c r="H45" i="3" l="1"/>
  <c r="I45" i="3" s="1"/>
  <c r="H46" i="3"/>
  <c r="I46" i="3" s="1"/>
  <c r="H47" i="3"/>
  <c r="F12" i="3"/>
  <c r="F15" i="3" s="1"/>
  <c r="E72" i="3"/>
  <c r="D19" i="3"/>
  <c r="D26" i="3" s="1"/>
  <c r="D41" i="3" s="1"/>
  <c r="D44" i="3" s="1"/>
  <c r="D53" i="3" s="1"/>
  <c r="E19" i="3"/>
  <c r="E10" i="3"/>
  <c r="F11" i="3" s="1"/>
  <c r="E88" i="3"/>
  <c r="E43" i="3"/>
  <c r="D49" i="3"/>
  <c r="D89" i="3"/>
  <c r="F48" i="3"/>
  <c r="I9" i="3"/>
  <c r="I47" i="3" l="1"/>
  <c r="J46" i="3"/>
  <c r="J45" i="3"/>
  <c r="K45" i="3" s="1"/>
  <c r="F16" i="3"/>
  <c r="F10" i="3" s="1"/>
  <c r="G11" i="3" s="1"/>
  <c r="G16" i="3" s="1"/>
  <c r="G10" i="3" s="1"/>
  <c r="D56" i="3"/>
  <c r="D63" i="3" s="1"/>
  <c r="G12" i="3"/>
  <c r="G15" i="3" s="1"/>
  <c r="F72" i="3"/>
  <c r="D31" i="3"/>
  <c r="D35" i="3" s="1"/>
  <c r="D147" i="3" s="1"/>
  <c r="G48" i="3"/>
  <c r="D27" i="3"/>
  <c r="D87" i="3" s="1"/>
  <c r="D50" i="3"/>
  <c r="D51" i="3" s="1"/>
  <c r="F88" i="3"/>
  <c r="E49" i="3"/>
  <c r="E89" i="3"/>
  <c r="F43" i="3"/>
  <c r="J9" i="3"/>
  <c r="L45" i="3" l="1"/>
  <c r="M45" i="3" s="1"/>
  <c r="F19" i="3"/>
  <c r="J47" i="3"/>
  <c r="K46" i="3"/>
  <c r="L46" i="3" s="1"/>
  <c r="M46" i="3" s="1"/>
  <c r="H12" i="3"/>
  <c r="H15" i="3" s="1"/>
  <c r="G72" i="3"/>
  <c r="D37" i="3"/>
  <c r="D38" i="3" s="1"/>
  <c r="D148" i="3" s="1"/>
  <c r="D60" i="3"/>
  <c r="G19" i="3"/>
  <c r="H11" i="3"/>
  <c r="H16" i="3" s="1"/>
  <c r="G88" i="3"/>
  <c r="H48" i="3"/>
  <c r="G43" i="3"/>
  <c r="F89" i="3"/>
  <c r="F49" i="3"/>
  <c r="K9" i="3"/>
  <c r="K47" i="3" l="1"/>
  <c r="I12" i="3"/>
  <c r="I15" i="3" s="1"/>
  <c r="H72" i="3"/>
  <c r="D61" i="3"/>
  <c r="D58" i="3"/>
  <c r="D64" i="3"/>
  <c r="D117" i="3" s="1"/>
  <c r="H10" i="3"/>
  <c r="I11" i="3" s="1"/>
  <c r="I16" i="3" s="1"/>
  <c r="H19" i="3"/>
  <c r="H88" i="3"/>
  <c r="I48" i="3"/>
  <c r="H43" i="3"/>
  <c r="G49" i="3"/>
  <c r="G89" i="3"/>
  <c r="L9" i="3"/>
  <c r="L47" i="3" l="1"/>
  <c r="M47" i="3" s="1"/>
  <c r="D65" i="3"/>
  <c r="D66" i="3" s="1"/>
  <c r="J12" i="3"/>
  <c r="J15" i="3" s="1"/>
  <c r="I72" i="3"/>
  <c r="E23" i="3"/>
  <c r="E26" i="3" s="1"/>
  <c r="E27" i="3" s="1"/>
  <c r="E87" i="3" s="1"/>
  <c r="D62" i="3"/>
  <c r="D118" i="3" s="1"/>
  <c r="D119" i="3" s="1"/>
  <c r="E59" i="3"/>
  <c r="I19" i="3"/>
  <c r="I10" i="3"/>
  <c r="J11" i="3" s="1"/>
  <c r="J16" i="3" s="1"/>
  <c r="I88" i="3"/>
  <c r="J48" i="3"/>
  <c r="I43" i="3"/>
  <c r="H89" i="3"/>
  <c r="H49" i="3"/>
  <c r="M9" i="3"/>
  <c r="K12" i="3" l="1"/>
  <c r="K15" i="3" s="1"/>
  <c r="J72" i="3"/>
  <c r="E50" i="3"/>
  <c r="E51" i="3" s="1"/>
  <c r="E31" i="3"/>
  <c r="E35" i="3" s="1"/>
  <c r="E41" i="3"/>
  <c r="E44" i="3" s="1"/>
  <c r="E53" i="3" s="1"/>
  <c r="J10" i="3"/>
  <c r="K11" i="3" s="1"/>
  <c r="K16" i="3" s="1"/>
  <c r="J19" i="3"/>
  <c r="J88" i="3"/>
  <c r="J43" i="3"/>
  <c r="I49" i="3"/>
  <c r="I89" i="3"/>
  <c r="K48" i="3"/>
  <c r="E37" i="3" l="1"/>
  <c r="E38" i="3" s="1"/>
  <c r="E148" i="3" s="1"/>
  <c r="E147" i="3"/>
  <c r="E56" i="3"/>
  <c r="E63" i="3" s="1"/>
  <c r="E60" i="3" s="1"/>
  <c r="E58" i="3" s="1"/>
  <c r="L12" i="3"/>
  <c r="L15" i="3" s="1"/>
  <c r="K72" i="3"/>
  <c r="K19" i="3"/>
  <c r="K10" i="3"/>
  <c r="L11" i="3" s="1"/>
  <c r="L16" i="3" s="1"/>
  <c r="K88" i="3"/>
  <c r="J89" i="3"/>
  <c r="J49" i="3"/>
  <c r="L48" i="3"/>
  <c r="K43" i="3"/>
  <c r="E61" i="3" l="1"/>
  <c r="E64" i="3"/>
  <c r="E117" i="3" s="1"/>
  <c r="M12" i="3"/>
  <c r="M15" i="3" s="1"/>
  <c r="L72" i="3"/>
  <c r="L19" i="3"/>
  <c r="L10" i="3"/>
  <c r="M11" i="3" s="1"/>
  <c r="M16" i="3" s="1"/>
  <c r="M88" i="3"/>
  <c r="L88" i="3"/>
  <c r="M43" i="3"/>
  <c r="L43" i="3"/>
  <c r="K89" i="3"/>
  <c r="K49" i="3"/>
  <c r="M48" i="3"/>
  <c r="M72" i="3" l="1"/>
  <c r="E65" i="3"/>
  <c r="E66" i="3" s="1"/>
  <c r="F23" i="3"/>
  <c r="F26" i="3" s="1"/>
  <c r="F27" i="3" s="1"/>
  <c r="F87" i="3" s="1"/>
  <c r="E62" i="3"/>
  <c r="E118" i="3" s="1"/>
  <c r="E119" i="3" s="1"/>
  <c r="F59" i="3"/>
  <c r="M10" i="3"/>
  <c r="M19" i="3"/>
  <c r="L89" i="3"/>
  <c r="L49" i="3"/>
  <c r="M89" i="3"/>
  <c r="M49" i="3"/>
  <c r="F31" i="3" l="1"/>
  <c r="F35" i="3" s="1"/>
  <c r="F41" i="3"/>
  <c r="F44" i="3" s="1"/>
  <c r="F53" i="3" s="1"/>
  <c r="F56" i="3" s="1"/>
  <c r="F63" i="3" s="1"/>
  <c r="F50" i="3"/>
  <c r="F51" i="3" s="1"/>
  <c r="F37" i="3" l="1"/>
  <c r="F38" i="3" s="1"/>
  <c r="F148" i="3" s="1"/>
  <c r="F147" i="3"/>
  <c r="F60" i="3"/>
  <c r="F64" i="3"/>
  <c r="F117" i="3" s="1"/>
  <c r="F58" i="3" l="1"/>
  <c r="F61" i="3"/>
  <c r="F65" i="3" s="1"/>
  <c r="G59" i="3" l="1"/>
  <c r="F62" i="3"/>
  <c r="F118" i="3" s="1"/>
  <c r="F119" i="3" s="1"/>
  <c r="F66" i="3"/>
  <c r="G23" i="3"/>
  <c r="G26" i="3" s="1"/>
  <c r="G31" i="3" l="1"/>
  <c r="G35" i="3" s="1"/>
  <c r="G27" i="3"/>
  <c r="G87" i="3" s="1"/>
  <c r="G41" i="3"/>
  <c r="G44" i="3" s="1"/>
  <c r="G53" i="3" s="1"/>
  <c r="G50" i="3"/>
  <c r="G51" i="3" s="1"/>
  <c r="G37" i="3" l="1"/>
  <c r="G38" i="3" s="1"/>
  <c r="G148" i="3" s="1"/>
  <c r="G147" i="3"/>
  <c r="G56" i="3"/>
  <c r="G63" i="3" s="1"/>
  <c r="G60" i="3" l="1"/>
  <c r="G64" i="3"/>
  <c r="G117" i="3" s="1"/>
  <c r="G58" i="3" l="1"/>
  <c r="G61" i="3"/>
  <c r="G65" i="3" s="1"/>
  <c r="H23" i="3" l="1"/>
  <c r="H26" i="3" s="1"/>
  <c r="H59" i="3"/>
  <c r="G62" i="3"/>
  <c r="G118" i="3" s="1"/>
  <c r="G119" i="3" s="1"/>
  <c r="G66" i="3"/>
  <c r="H50" i="3" l="1"/>
  <c r="H51" i="3" s="1"/>
  <c r="H41" i="3"/>
  <c r="H44" i="3" s="1"/>
  <c r="H53" i="3" s="1"/>
  <c r="H56" i="3" s="1"/>
  <c r="H63" i="3" s="1"/>
  <c r="H27" i="3"/>
  <c r="H87" i="3" s="1"/>
  <c r="H31" i="3"/>
  <c r="H35" i="3" s="1"/>
  <c r="H37" i="3" l="1"/>
  <c r="H38" i="3" s="1"/>
  <c r="H148" i="3" s="1"/>
  <c r="H147" i="3"/>
  <c r="H60" i="3"/>
  <c r="H64" i="3"/>
  <c r="H117" i="3" s="1"/>
  <c r="H58" i="3" l="1"/>
  <c r="H61" i="3"/>
  <c r="H65" i="3" s="1"/>
  <c r="H62" i="3" l="1"/>
  <c r="H118" i="3" s="1"/>
  <c r="H119" i="3" s="1"/>
  <c r="I59" i="3"/>
  <c r="I23" i="3"/>
  <c r="I26" i="3" s="1"/>
  <c r="H66" i="3"/>
  <c r="I27" i="3" l="1"/>
  <c r="I87" i="3" s="1"/>
  <c r="I41" i="3"/>
  <c r="I44" i="3" s="1"/>
  <c r="I53" i="3" s="1"/>
  <c r="I56" i="3" s="1"/>
  <c r="I63" i="3" s="1"/>
  <c r="I50" i="3"/>
  <c r="I51" i="3" s="1"/>
  <c r="I31" i="3"/>
  <c r="I35" i="3" s="1"/>
  <c r="I37" i="3" l="1"/>
  <c r="I38" i="3" s="1"/>
  <c r="I148" i="3" s="1"/>
  <c r="I147" i="3"/>
  <c r="I60" i="3"/>
  <c r="I64" i="3"/>
  <c r="I117" i="3" s="1"/>
  <c r="I58" i="3" l="1"/>
  <c r="I61" i="3"/>
  <c r="I65" i="3" s="1"/>
  <c r="J23" i="3" l="1"/>
  <c r="J26" i="3" s="1"/>
  <c r="I62" i="3"/>
  <c r="I118" i="3" s="1"/>
  <c r="I119" i="3" s="1"/>
  <c r="J59" i="3"/>
  <c r="I66" i="3"/>
  <c r="J27" i="3" l="1"/>
  <c r="J87" i="3" s="1"/>
  <c r="J50" i="3"/>
  <c r="J51" i="3" s="1"/>
  <c r="J41" i="3"/>
  <c r="J44" i="3" s="1"/>
  <c r="J53" i="3" s="1"/>
  <c r="J56" i="3" s="1"/>
  <c r="J31" i="3"/>
  <c r="J35" i="3" s="1"/>
  <c r="J37" i="3" l="1"/>
  <c r="J38" i="3" s="1"/>
  <c r="J148" i="3" s="1"/>
  <c r="J147" i="3"/>
  <c r="J63" i="3"/>
  <c r="J64" i="3" l="1"/>
  <c r="J117" i="3" s="1"/>
  <c r="J60" i="3"/>
  <c r="J58" i="3" l="1"/>
  <c r="J61" i="3"/>
  <c r="J65" i="3" s="1"/>
  <c r="K59" i="3" l="1"/>
  <c r="K23" i="3"/>
  <c r="K26" i="3" s="1"/>
  <c r="J62" i="3"/>
  <c r="J118" i="3" s="1"/>
  <c r="J119" i="3" s="1"/>
  <c r="J66" i="3"/>
  <c r="K41" i="3" l="1"/>
  <c r="K44" i="3" s="1"/>
  <c r="K53" i="3" s="1"/>
  <c r="K56" i="3" s="1"/>
  <c r="K31" i="3"/>
  <c r="K35" i="3" s="1"/>
  <c r="K27" i="3"/>
  <c r="K87" i="3" s="1"/>
  <c r="K50" i="3"/>
  <c r="K51" i="3" s="1"/>
  <c r="K37" i="3" l="1"/>
  <c r="K38" i="3" s="1"/>
  <c r="K148" i="3" s="1"/>
  <c r="K147" i="3"/>
  <c r="K63" i="3"/>
  <c r="K60" i="3" s="1"/>
  <c r="K61" i="3" l="1"/>
  <c r="K58" i="3"/>
  <c r="K64" i="3"/>
  <c r="K117" i="3" s="1"/>
  <c r="K65" i="3" l="1"/>
  <c r="K66" i="3" s="1"/>
  <c r="L59" i="3"/>
  <c r="K62" i="3"/>
  <c r="K118" i="3" s="1"/>
  <c r="K119" i="3" s="1"/>
  <c r="L23" i="3"/>
  <c r="L26" i="3" s="1"/>
  <c r="L50" i="3" l="1"/>
  <c r="L51" i="3" s="1"/>
  <c r="L41" i="3"/>
  <c r="L44" i="3" s="1"/>
  <c r="L53" i="3" s="1"/>
  <c r="L56" i="3" s="1"/>
  <c r="L63" i="3" s="1"/>
  <c r="L27" i="3"/>
  <c r="L87" i="3" s="1"/>
  <c r="L31" i="3"/>
  <c r="L35" i="3" s="1"/>
  <c r="L37" i="3" l="1"/>
  <c r="L38" i="3" s="1"/>
  <c r="L148" i="3" s="1"/>
  <c r="L147" i="3"/>
  <c r="L60" i="3"/>
  <c r="L64" i="3"/>
  <c r="L117" i="3" s="1"/>
  <c r="L58" i="3" l="1"/>
  <c r="L61" i="3"/>
  <c r="L65" i="3" s="1"/>
  <c r="M59" i="3" l="1"/>
  <c r="M23" i="3"/>
  <c r="M26" i="3" s="1"/>
  <c r="L66" i="3"/>
  <c r="L62" i="3"/>
  <c r="L118" i="3" s="1"/>
  <c r="L119" i="3" s="1"/>
  <c r="M31" i="3" l="1"/>
  <c r="M35" i="3" s="1"/>
  <c r="M41" i="3"/>
  <c r="M44" i="3" s="1"/>
  <c r="M53" i="3" s="1"/>
  <c r="M56" i="3" s="1"/>
  <c r="M50" i="3"/>
  <c r="M51" i="3" s="1"/>
  <c r="M27" i="3"/>
  <c r="M87" i="3" s="1"/>
  <c r="M37" i="3" l="1"/>
  <c r="M38" i="3" s="1"/>
  <c r="M148" i="3" s="1"/>
  <c r="M147" i="3"/>
  <c r="M63" i="3"/>
  <c r="M64" i="3" s="1"/>
  <c r="M117" i="3" s="1"/>
  <c r="M60" i="3" l="1"/>
  <c r="M61" i="3" s="1"/>
  <c r="M65" i="3" s="1"/>
  <c r="M58" i="3" l="1"/>
  <c r="M66" i="3"/>
  <c r="M62" i="3"/>
  <c r="M118" i="3" s="1"/>
  <c r="M119" i="3" s="1"/>
</calcChain>
</file>

<file path=xl/sharedStrings.xml><?xml version="1.0" encoding="utf-8"?>
<sst xmlns="http://schemas.openxmlformats.org/spreadsheetml/2006/main" count="1154" uniqueCount="480">
  <si>
    <t>Nettoinvestoinnit</t>
  </si>
  <si>
    <t>Yhteisöverot</t>
  </si>
  <si>
    <t>Kiinteistöverot</t>
  </si>
  <si>
    <t>Veroprosentti</t>
  </si>
  <si>
    <t>Toimintatuotot</t>
  </si>
  <si>
    <t>Toimintakulut</t>
  </si>
  <si>
    <t>Verotulot</t>
  </si>
  <si>
    <t>Valtionavut</t>
  </si>
  <si>
    <t>Korkotuotot</t>
  </si>
  <si>
    <t>Muut rahoitustuotot</t>
  </si>
  <si>
    <t>Korkokulut</t>
  </si>
  <si>
    <t>Muut rahoituskulut</t>
  </si>
  <si>
    <t>VUOSIKATE</t>
  </si>
  <si>
    <t>Kunnallisverot</t>
  </si>
  <si>
    <t>Puumala</t>
  </si>
  <si>
    <t>Toimintakate</t>
  </si>
  <si>
    <t>Poistot ja arvonalent.</t>
  </si>
  <si>
    <t>Tlikauden yli-/alijäämä</t>
  </si>
  <si>
    <t>Satunnaiset tuotot</t>
  </si>
  <si>
    <t>Satunnaiset kulut</t>
  </si>
  <si>
    <t>Tlikauden tulos</t>
  </si>
  <si>
    <t xml:space="preserve">Lainakanta </t>
  </si>
  <si>
    <t>Kemi</t>
  </si>
  <si>
    <t>Oulainen</t>
  </si>
  <si>
    <t>Vaala</t>
  </si>
  <si>
    <t>Poistoeron lisäys(-) tai väh.(+)</t>
  </si>
  <si>
    <t>Varausten lisäys(-) tai väh.(+)</t>
  </si>
  <si>
    <t>Rahastojen lisäys(-) tai väh.(+)</t>
  </si>
  <si>
    <t>vero-% yksikön tuotto</t>
  </si>
  <si>
    <t xml:space="preserve"> -&gt; noston vaikutus</t>
  </si>
  <si>
    <t>€/as</t>
  </si>
  <si>
    <t xml:space="preserve"> €/as</t>
  </si>
  <si>
    <t>Vuosikate</t>
  </si>
  <si>
    <t>Vuosikate-nettoinv.</t>
  </si>
  <si>
    <t>Rahavarat</t>
  </si>
  <si>
    <t>Lainakanta</t>
  </si>
  <si>
    <t>Kunta nro.</t>
  </si>
  <si>
    <t>Kunta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</si>
  <si>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</si>
  <si>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</si>
  <si>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</si>
  <si>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</si>
  <si>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</si>
  <si>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</si>
  <si>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</si>
  <si>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</si>
  <si>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</si>
  <si>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</si>
  <si>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</si>
  <si>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</si>
  <si>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</si>
  <si>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</si>
  <si>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</si>
  <si>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</si>
  <si>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</si>
  <si>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</si>
  <si>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</si>
  <si>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</si>
  <si>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</si>
  <si>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</si>
  <si>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</si>
  <si>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</si>
  <si>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</si>
  <si>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</si>
  <si>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</si>
  <si>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</si>
  <si>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</si>
  <si>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</si>
  <si>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</si>
  <si>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</si>
  <si>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</si>
  <si>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</si>
  <si>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</si>
  <si>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</si>
  <si>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</si>
  <si>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</si>
  <si>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</si>
  <si>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</si>
  <si>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</si>
  <si>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</si>
  <si>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</si>
  <si>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</si>
  <si>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</si>
  <si>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</si>
  <si>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</si>
  <si>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</si>
  <si>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</si>
  <si>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</si>
  <si>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</si>
  <si>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</si>
  <si>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</si>
  <si>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</si>
  <si>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</si>
  <si>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</si>
  <si>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</si>
  <si>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</si>
  <si>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</si>
  <si>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</si>
  <si>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</si>
  <si>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</si>
  <si>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</si>
  <si>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</si>
  <si>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</si>
  <si>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</si>
  <si>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</si>
  <si>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</si>
  <si>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</si>
  <si>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</si>
  <si>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</si>
  <si>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</si>
  <si>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</si>
  <si>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</si>
  <si>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</si>
  <si>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</si>
  <si>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</si>
  <si>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Kemijärvi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</si>
  <si>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</si>
  <si>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</si>
  <si>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</si>
  <si>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</si>
  <si>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</si>
  <si>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</si>
  <si>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</si>
  <si>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</si>
  <si>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</si>
  <si>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</si>
  <si>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</si>
  <si>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</si>
  <si>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</si>
  <si>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</si>
  <si>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</si>
  <si>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</si>
  <si>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</si>
  <si>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</si>
  <si>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</si>
  <si>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</si>
  <si>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</si>
  <si>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</si>
  <si>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</si>
  <si>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</si>
  <si>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</si>
  <si>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</si>
  <si>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</si>
  <si>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</si>
  <si>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</si>
  <si>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</si>
  <si>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</si>
  <si>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</si>
  <si>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</si>
  <si>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</si>
  <si>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</si>
  <si>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</si>
  <si>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</si>
  <si>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</si>
  <si>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</si>
  <si>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</si>
  <si>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</si>
  <si>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</si>
  <si>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</si>
  <si>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</si>
  <si>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</si>
  <si>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</si>
  <si>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</si>
  <si>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</si>
  <si>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</si>
  <si>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</si>
  <si>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</si>
  <si>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</si>
  <si>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</si>
  <si>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</si>
  <si>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</si>
  <si>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</si>
  <si>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</si>
  <si>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</si>
  <si>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</si>
  <si>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</si>
  <si>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</si>
  <si>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</si>
  <si>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</si>
  <si>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</si>
  <si>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</si>
  <si>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</si>
  <si>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</si>
  <si>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</si>
  <si>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</si>
  <si>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</si>
  <si>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</si>
  <si>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</si>
  <si>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</si>
  <si>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</si>
  <si>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</si>
  <si>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</si>
  <si>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</si>
  <si>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</si>
  <si>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</si>
  <si>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</si>
  <si>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</si>
  <si>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</si>
  <si>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</si>
  <si>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Oulu</t>
  </si>
  <si>
    <t>Outokumpu</t>
  </si>
  <si>
    <t>Padasjoki</t>
  </si>
  <si>
    <t>Paimio</t>
  </si>
  <si>
    <t>Paltamo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</si>
  <si>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</si>
  <si>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</si>
  <si>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</si>
  <si>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</si>
  <si>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</si>
  <si>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</si>
  <si>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</si>
  <si>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</si>
  <si>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</si>
  <si>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</si>
  <si>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</si>
  <si>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</si>
  <si>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</si>
  <si>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</si>
  <si>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</si>
  <si>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</si>
  <si>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</si>
  <si>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</si>
  <si>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</si>
  <si>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</si>
  <si>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</si>
  <si>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</si>
  <si>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</si>
  <si>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</si>
  <si>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</si>
  <si>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</si>
  <si>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</si>
  <si>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</si>
  <si>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</si>
  <si>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</si>
  <si>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</si>
  <si>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</si>
  <si>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</si>
  <si>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</si>
  <si>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</si>
  <si>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</si>
  <si>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</si>
  <si>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</si>
  <si>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</si>
  <si>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</si>
  <si>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</si>
  <si>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</si>
  <si>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</si>
  <si>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</si>
  <si>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</si>
  <si>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</si>
  <si>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</si>
  <si>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</si>
  <si>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</si>
  <si>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</si>
  <si>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</si>
  <si>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</si>
  <si>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</si>
  <si>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</si>
  <si>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</si>
  <si>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</si>
  <si>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</si>
  <si>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</si>
  <si>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</si>
  <si>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</si>
  <si>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</si>
  <si>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</si>
  <si>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</si>
  <si>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</si>
  <si>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</si>
  <si>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</si>
  <si>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</si>
  <si>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</si>
  <si>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</si>
  <si>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</si>
  <si>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</si>
  <si>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</si>
  <si>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</si>
  <si>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</si>
  <si>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</si>
  <si>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</si>
  <si>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</si>
  <si>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</si>
  <si>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</si>
  <si>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</si>
  <si>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</si>
  <si>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</si>
  <si>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</si>
  <si>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</si>
  <si>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</si>
  <si>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</si>
  <si>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</si>
  <si>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</si>
  <si>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</si>
  <si>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</si>
  <si>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</si>
  <si>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</si>
  <si>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</si>
  <si>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</si>
  <si>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</si>
  <si>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</si>
  <si>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</si>
  <si>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</si>
  <si>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</si>
  <si>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</si>
  <si>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</si>
  <si>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</si>
  <si>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</si>
  <si>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</si>
  <si>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</si>
  <si>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</si>
  <si>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</si>
  <si>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</si>
  <si>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Ylitornio</t>
  </si>
  <si>
    <t>Ylivieska</t>
  </si>
  <si>
    <t>Ylöjärvi</t>
  </si>
  <si>
    <t>Ypäjä</t>
  </si>
  <si>
    <t>Ähtäri</t>
  </si>
  <si>
    <t>Äänekoski</t>
  </si>
  <si>
    <t>Akaa</t>
  </si>
  <si>
    <t>Koski</t>
  </si>
  <si>
    <t>Kristiinankaupunki</t>
  </si>
  <si>
    <t>SYÖTÄ HALUAMASI KASVUPROSENTIT!</t>
  </si>
  <si>
    <t>TULOSLASKELMA</t>
  </si>
  <si>
    <t>Valtionosuudet</t>
  </si>
  <si>
    <t>vos-hava</t>
  </si>
  <si>
    <t>Valtionosuudet (pl. hark.var.)</t>
  </si>
  <si>
    <t>Asukasluku 31.12.</t>
  </si>
  <si>
    <t>Lainanlisäystarve</t>
  </si>
  <si>
    <t>TAUSTAMUUTTUJAT:</t>
  </si>
  <si>
    <t>Lainanlyhennykset</t>
  </si>
  <si>
    <t>Nettovelka</t>
  </si>
  <si>
    <t>KUNNAN TALOUDEN SUUNNITTELUKEHIKKO</t>
  </si>
  <si>
    <t>veroprosenttiyksikön tuoton perusteella).</t>
  </si>
  <si>
    <t>Käyttäjä voi muokata vaaleansinisellä pohjalla olevia kohtia (soluja).</t>
  </si>
  <si>
    <t xml:space="preserve">Korkokulujen kehitys perustuu edellisvuoden lainamäärään ja valittuun korkokantaan. Korkoprosentti (keskim.) </t>
  </si>
  <si>
    <t>voidaan siis valita halutun mukaiseksi. Korkoprosentti ei vaikuta korkotuottoihin, vaan sen perustuu ed. vuoden määrään.</t>
  </si>
  <si>
    <t>Asukasluku:</t>
  </si>
  <si>
    <t>Tuloveroprosentti:</t>
  </si>
  <si>
    <t>Tuloslaskelma:</t>
  </si>
  <si>
    <t>TASEESTA</t>
  </si>
  <si>
    <t>Rahoituslaskelma ja tase:</t>
  </si>
  <si>
    <t>taseen alijäämä tulisi katetuksi valituilla tuloslaskelman kasvuoletuksilla (vrt. kuntalaki ja alijäämän kattamisvelvollisuus).</t>
  </si>
  <si>
    <t>on esimerkiksi 8 vuotta, niin vuosittainen lainanlyhennys on 1/8 (12,5 %) edellisvuoden lainamäärästä. Lainanlyhennys</t>
  </si>
  <si>
    <t>Nettovelka (rahat-lainat)</t>
  </si>
  <si>
    <t>VALITSE KUNTA:</t>
  </si>
  <si>
    <t>Rahoituslaskelman ja taseen erät pohjautuvat jäljempänä selostettuihin olettamuksiin</t>
  </si>
  <si>
    <t>(pl. taseen kertynyt yli-/alijäämä = ed. tilikausien yli-/alijäämä + tilikauden yli-/alijäämä).</t>
  </si>
  <si>
    <t>Vaikutus korkomenoihin, ei korkotuloihin</t>
  </si>
  <si>
    <t>Esim. lainanlyhennysaika 8 vuotta, jolloin vuosilyhennys = 1/8 eli 12,5 % * lainamäärä</t>
  </si>
  <si>
    <t>Kemiönsaari</t>
  </si>
  <si>
    <t>Mänttä-Vilppula</t>
  </si>
  <si>
    <t>Raasepori</t>
  </si>
  <si>
    <t>Siikalatva</t>
  </si>
  <si>
    <t>Sastamala</t>
  </si>
  <si>
    <t>Tilikauden tulos</t>
  </si>
  <si>
    <t>hava</t>
  </si>
  <si>
    <t>VALITSE KESKIMÄÄR. LAINANLYHENNYSAIKA (VUODET):</t>
  </si>
  <si>
    <t>VALITSE KESKIMÄÄR. KORKOKANTA (KORKOPROSENTTI):</t>
  </si>
  <si>
    <t xml:space="preserve">Yhteisöverot  </t>
  </si>
  <si>
    <t>€/asukas</t>
  </si>
  <si>
    <t xml:space="preserve"> €/asukas</t>
  </si>
  <si>
    <t>Tilikauden yli-/alijäämä</t>
  </si>
  <si>
    <t>Tulorahoituksen korjauserät</t>
  </si>
  <si>
    <t>Tulorah.korjauserät</t>
  </si>
  <si>
    <t>Satunnaiset erät, netto</t>
  </si>
  <si>
    <t>Investointimenot</t>
  </si>
  <si>
    <t>Rahoitusosuudet investointeihin</t>
  </si>
  <si>
    <t>Inv.hyödykkeiden luovutustulot</t>
  </si>
  <si>
    <t xml:space="preserve"> = 2. Nettoinvestoinnit</t>
  </si>
  <si>
    <t>Muutos ed. vuodesta, %:</t>
  </si>
  <si>
    <t xml:space="preserve"> (1. Tulorahoitus+ 2.Nettoinv.)</t>
  </si>
  <si>
    <t>Syötä prosenttiosuus, joka käytetään rahavaroista.</t>
  </si>
  <si>
    <t>Lainamäärän muutos;</t>
  </si>
  <si>
    <t>Syötä muutos-</t>
  </si>
  <si>
    <t>Kertynyt yli-/alijäämä</t>
  </si>
  <si>
    <t>Kehikon käyttötarkoitus:</t>
  </si>
  <si>
    <t>Myös tuloveroprosenttia, investointeja ja antolainasaamisten määrää voidaan muuttaa.</t>
  </si>
  <si>
    <t>Kehikon laskentapohja:</t>
  </si>
  <si>
    <t>tilinpäätöksen mukaiset, mutta ne ovat myös muutettavissa.</t>
  </si>
  <si>
    <t>Vuorovaikutteinen kunnan talouden suunnittelun apuväline. Kehikon avulla voidaan suunnitella kunnan talouden</t>
  </si>
  <si>
    <t xml:space="preserve">Vöyri </t>
  </si>
  <si>
    <t>Harkvar10</t>
  </si>
  <si>
    <t>Parainen</t>
  </si>
  <si>
    <t>Muokkaa vaaleansinisellä olevia kohtia.</t>
  </si>
  <si>
    <t>Satu. tuotot</t>
  </si>
  <si>
    <t>Satu. kulut</t>
  </si>
  <si>
    <t xml:space="preserve">Asukasluku </t>
  </si>
  <si>
    <t>Asukasluku</t>
  </si>
  <si>
    <t xml:space="preserve">valmistunutta tilinpäätöstä. </t>
  </si>
  <si>
    <t>Tulevan kehityksen osalta tuloslaskelman erien kasvuolettamukset pohjautuvat lähtökohtaisesti</t>
  </si>
  <si>
    <t>Antolainauksen muutokset</t>
  </si>
  <si>
    <t>KOKO MAA (Manner-Suomi)</t>
  </si>
  <si>
    <t>prosentit syötetään</t>
  </si>
  <si>
    <t>alla olevaan taulukkoon</t>
  </si>
  <si>
    <t>Näiden erien muutos-</t>
  </si>
  <si>
    <t>2023 kuntajako</t>
  </si>
  <si>
    <t>Kunnat vuoden 2023 kuntajaolla</t>
  </si>
  <si>
    <t>2) kunnallisverot (pl. veroprosentin noston vaikutus),</t>
  </si>
  <si>
    <t>3) yhteisöverot,</t>
  </si>
  <si>
    <t>4) kiinteistöverot ja</t>
  </si>
  <si>
    <t>Lainakanta  2021</t>
  </si>
  <si>
    <t>Rahavarat 2021</t>
  </si>
  <si>
    <t>TP 2022</t>
  </si>
  <si>
    <t>VM/KAO</t>
  </si>
  <si>
    <t xml:space="preserve"> - Investointimenot</t>
  </si>
  <si>
    <t xml:space="preserve"> + Rahoitusosuudet investointimenoihin</t>
  </si>
  <si>
    <t xml:space="preserve"> + Investointihyödykkeiden luovutustulot</t>
  </si>
  <si>
    <t>oletuksena nolla -&gt; syötä oma arvio</t>
  </si>
  <si>
    <t>Positiivinen arvo=nettovähennys.Oletuksena nolla -&gt; syötä oma arvio</t>
  </si>
  <si>
    <t>oletuksena viimeisin toteumatieto -&gt; syötä oma arvio</t>
  </si>
  <si>
    <t>prosentit (muuta oletusarvoja tarpeen mukaan):</t>
  </si>
  <si>
    <t>tulovero-%</t>
  </si>
  <si>
    <t>oletuksena viimeisin toteumatieto v. 2024 -&gt; syötä oma arvio</t>
  </si>
  <si>
    <t>muutos</t>
  </si>
  <si>
    <t>KOKO MAA</t>
  </si>
  <si>
    <t>Koski Tl</t>
  </si>
  <si>
    <t>Vöyri</t>
  </si>
  <si>
    <t>TK, 9/2021</t>
  </si>
  <si>
    <t>Väestöennuste 2021 (Tilastokeskus) kunnittain 2023-2030</t>
  </si>
  <si>
    <t>ka. Mukaan</t>
  </si>
  <si>
    <t>4. Nettorahoitustarve</t>
  </si>
  <si>
    <t>Valtionosuudet, ml hark.var.</t>
  </si>
  <si>
    <t xml:space="preserve"> → muutoksen vaikutus</t>
  </si>
  <si>
    <t xml:space="preserve"> = 1. Toiminnan rahavirta</t>
  </si>
  <si>
    <t xml:space="preserve"> = 3. Toim. ja inv. rahavirta</t>
  </si>
  <si>
    <r>
      <t xml:space="preserve">Nettorahoitustarve </t>
    </r>
    <r>
      <rPr>
        <sz val="10"/>
        <rFont val="Arial"/>
        <family val="2"/>
      </rPr>
      <t>muodostuu seuraavista eristä = Vuosikate + tulorahoituksen korjauserät + satunnaiset erät, netto + investoinnit,</t>
    </r>
  </si>
  <si>
    <t>Lainamäärää lyhennetään valitun keskimääräisen lyhennysajan mukaan eli jos keskimääräinen lainanmaksuaika</t>
  </si>
  <si>
    <t xml:space="preserve">tehdään aina, vaikka nettorahoitustarve olisi negatiivinen. </t>
  </si>
  <si>
    <t>Kunnan talouden tulevan kehityksen arvioinnin suunnitteluun</t>
  </si>
  <si>
    <t xml:space="preserve">kehitystä taloussuunnittelukautta pidemmällä aikavälillä. Tarkastelun kohteena ovat kunnan tuloslaskelma, rahoituslaskelmasta rahavarat, </t>
  </si>
  <si>
    <t xml:space="preserve">antolainat ja investoinnit sekä taseesta lainat ja kertynyt yli-/alijäämä. Pohjatietoina kehikossa ovat kaksi viimeksi </t>
  </si>
  <si>
    <t>uusimman kuntatalousohjelman mukaisiin makroennusteisiin.</t>
  </si>
  <si>
    <t>Käyttäjä voi kuitenkin itse muokata em. muutosolettamuksia sekä muita tuloslaskelman eriä.</t>
  </si>
  <si>
    <t>Kunnan asukaslukuina käytetään lähtökohtaisesti viimeisintä väestötietoa (31.12.20XX). Tulevien vuosien</t>
  </si>
  <si>
    <t>osalta asukaslukutiedot perustuvat Tilastokeskuksen viimeisimpään väestöennusteeseen (TK, 20XX).</t>
  </si>
  <si>
    <t>Tuloveroprosentti perustuu viimeksi vahvistettuun tietoon.</t>
  </si>
  <si>
    <t>Tulevien vuosien tuloveroprosentti on lähtökohtaisesti sama kuin edellisvuonna, mutta sitä voidaan muuttaa tarpeen mukaan. Kehikko</t>
  </si>
  <si>
    <t xml:space="preserve">laskee kaavalla veroprosentin muutoksen vaikutuksen kunnallisveron tuottoon (edellisvuoden </t>
  </si>
  <si>
    <t xml:space="preserve">Tuloslaskelman pohjana ovat tilinpäätökset kahdelta viimeiseltä vuodelta. </t>
  </si>
  <si>
    <t>Tuloslaskelman keskeisten erien tulevien vuosien muutokset perustuvat lähtökohtaisesti kuntatalousohjelmaan.</t>
  </si>
  <si>
    <r>
      <t>5) valtionosuudet (uusin päätös)</t>
    </r>
    <r>
      <rPr>
        <b/>
        <sz val="9"/>
        <rFont val="Arial"/>
        <family val="2"/>
      </rPr>
      <t xml:space="preserve">. </t>
    </r>
  </si>
  <si>
    <t>Em. keskeiset tuloslaskelman erät ovat seuraavat:</t>
  </si>
  <si>
    <t>1) toimintatuotot ja -kulut,</t>
  </si>
  <si>
    <t>Em. erien muutosolettamuksia voi muokata haluamikseen syöttämällä taulukkoon uudet muutosprosentit.</t>
  </si>
  <si>
    <t>Muiden tuloslaskelman erien on oletettu edellisvuoden mukaisesti, mutta niitä voi muokata tarpeen mukaan.</t>
  </si>
  <si>
    <t xml:space="preserve">Kehikossa tuloslaskelma päätyy taseen kertyneeseen yli-/alijäämään, jolloin voidaan tarkastella esim. milloin kunnan mahdollinen </t>
  </si>
  <si>
    <t xml:space="preserve">Investointimenot, niihin liittyvät rahoitusosuudet sekä pysyvien vastaavien luovutustulot ovat lähtökohtaisesti viimeksi toteutuneen </t>
  </si>
  <si>
    <r>
      <t xml:space="preserve">Kehikossa ns. </t>
    </r>
    <r>
      <rPr>
        <b/>
        <sz val="10"/>
        <rFont val="Arial"/>
        <family val="2"/>
      </rPr>
      <t>netto</t>
    </r>
    <r>
      <rPr>
        <b/>
        <i/>
        <sz val="10"/>
        <rFont val="Arial"/>
        <family val="2"/>
      </rPr>
      <t>rahoitustarve</t>
    </r>
    <r>
      <rPr>
        <sz val="10"/>
        <rFont val="Arial"/>
        <family val="2"/>
      </rPr>
      <t xml:space="preserve"> katetaan joko lainanlisäyksellä tai/ja rahavaroilla. Käyttäjä voi valita prosenttiosuuden,</t>
    </r>
  </si>
  <si>
    <t>jolla rahavaroja käytetään nettorahoitustarpeen kattamiseen. Mikäli rahavaroja ei ole, tarve katetaan kokonaisuudessaan lainanlisäyksellä.</t>
  </si>
  <si>
    <t>VM/KAO/vs</t>
  </si>
  <si>
    <t>Toimintatuotot, ml valmomkäyt</t>
  </si>
  <si>
    <t>Toimintatuotot, ml. Valmomkäyt</t>
  </si>
  <si>
    <t>muutokset - lainanlyh.)</t>
  </si>
  <si>
    <t>syötä soluun "H78" keskim. korkotaso</t>
  </si>
  <si>
    <t>TP 2023</t>
  </si>
  <si>
    <t>oletuksena samat arvot kuin v. 2028 &gt;</t>
  </si>
  <si>
    <t>toiminnan rahavirta</t>
  </si>
  <si>
    <t xml:space="preserve">Rahavarat  </t>
  </si>
  <si>
    <t xml:space="preserve"> 2022/2023</t>
  </si>
  <si>
    <t>24-30 ka.</t>
  </si>
  <si>
    <t>Väestöennuste TK 9/2021; toteumakorjattu 2023 tiedoilla</t>
  </si>
  <si>
    <t>, josta okm:n vos toteuma 2024-&gt;sama vuoteen 2029</t>
  </si>
  <si>
    <t>2024-2028</t>
  </si>
  <si>
    <t>KTO syksy2024 koko maan muutos</t>
  </si>
  <si>
    <t>KTO syksy2024 koko maan muutos 2028 saakka -&gt; syötä arvio tästä eteenpäin</t>
  </si>
  <si>
    <t>VM:n kuntakohtainen ennuste 9/2024, vuodesta 2029 lähtien muutosoletus +1,5 %</t>
  </si>
  <si>
    <t>2024-2028 tiedot VM:n ennuste 9/2024, jatkovuodet oletus 1,5:n kasvu</t>
  </si>
  <si>
    <t>oletuksena 2 viimeisimmän vuoden  keskiarvo -&gt; syötä oma arvio</t>
  </si>
  <si>
    <t>RAHOITUSLASKELMAN JA TASEEN TIETOJA (sisältäen nettorahoitustarpeen ja sen vajeen kattamisoletukset)</t>
  </si>
  <si>
    <t>Taseen kertynyt yli-/alijäämä</t>
  </si>
  <si>
    <t>valmistus omaan käyttöön</t>
  </si>
  <si>
    <t>valmistus om. Käyttöön</t>
  </si>
  <si>
    <t xml:space="preserve">Toimintatuotot </t>
  </si>
  <si>
    <t>ÄLÄ MUUTA! Muodostuu toimintatuotoista ja -kuluista</t>
  </si>
  <si>
    <t>(= 3. Toim. ja inv.rahav. + antolainasaam.</t>
  </si>
  <si>
    <t>TULOSLASKELMAN ERIEN KASVUPROSENTIT:</t>
  </si>
  <si>
    <t xml:space="preserve">MONTAKO % RAHAVAROISTA KÄYTETÄÄN (4.) NETTORAHOITUSTARPEEN KATTAMISEEN ? </t>
  </si>
  <si>
    <t>Nettorahoitustarve voi olla myös positiivinen, jolloin "ylijäämä" lisää vastaavasti rahavaroja.</t>
  </si>
  <si>
    <t xml:space="preserve">netto + antolainasaamisten muutokset, netto + lainanlyhennykset. </t>
  </si>
  <si>
    <t>Nettorahoitustarve voi olla myös positiivinen, jolloin "ylijäämä" kasvattaa vastaavasti rahavaroja.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</si>
</sst>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#,##0\ &quot;€&quot;;[Red]\-#,##0\ &quot;€&quot;"/>
    <numFmt numFmtId="164" formatCode="_-* #,##0.00\ _€_-;\-* #,##0.00\ _€_-;_-* &quot;-&quot;??\ _€_-;_-@_-"/>
    <numFmt numFmtId="165" formatCode="0.000"/>
    <numFmt numFmtId="166" formatCode="#,##0.0"/>
    <numFmt numFmtId="167" formatCode="#,##0_ ;[Red]\-#,##0\ "/>
    <numFmt numFmtId="168" formatCode="#,##0.0_ ;[Red]\-#,##0.0\ "/>
    <numFmt numFmtId="169" formatCode="#,##0.00_ ;[Red]\-#,##0.00\ "/>
    <numFmt numFmtId="170" formatCode="[$€]#,##0.00_);[Red]\([$€]#,##0.00\)"/>
    <numFmt numFmtId="171" formatCode="#,##0.000_ ;[Red]\-#,##0.000\ "/>
    <numFmt numFmtId="172" formatCode="#,##0.000"/>
  </numFmts>
  <fonts count="44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color indexed="10"/>
      <name val="Arial"/>
      <family val="2"/>
    </font>
    <font>
      <b/>
      <u/>
      <sz val="9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b/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i/>
      <sz val="8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4"/>
      <color indexed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4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" fillId="0" borderId="0"/>
  </cellStyleXfs>
  <cellXfs count="562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/>
    <xf numFmtId="0" fontId="10" fillId="0" borderId="0" xfId="0" applyFont="1"/>
    <xf numFmtId="0" fontId="8" fillId="0" borderId="0" xfId="0" applyFont="1"/>
    <xf numFmtId="0" fontId="4" fillId="0" borderId="0" xfId="0" applyFont="1"/>
    <xf numFmtId="3" fontId="14" fillId="0" borderId="0" xfId="0" applyNumberFormat="1" applyFont="1" applyAlignment="1" applyProtection="1">
      <alignment horizontal="right"/>
      <protection locked="0"/>
    </xf>
    <xf numFmtId="0" fontId="14" fillId="0" borderId="0" xfId="0" applyNumberFormat="1" applyFont="1" applyAlignment="1" applyProtection="1">
      <alignment horizontal="right"/>
      <protection locked="0"/>
    </xf>
    <xf numFmtId="0" fontId="15" fillId="0" borderId="0" xfId="0" applyFont="1"/>
    <xf numFmtId="3" fontId="14" fillId="0" borderId="0" xfId="0" applyNumberFormat="1" applyFont="1"/>
    <xf numFmtId="0" fontId="14" fillId="0" borderId="0" xfId="0" applyFont="1"/>
    <xf numFmtId="167" fontId="4" fillId="0" borderId="0" xfId="0" applyNumberFormat="1" applyFont="1"/>
    <xf numFmtId="0" fontId="1" fillId="2" borderId="0" xfId="0" applyFont="1" applyFill="1"/>
    <xf numFmtId="3" fontId="5" fillId="3" borderId="0" xfId="0" applyNumberFormat="1" applyFont="1" applyFill="1"/>
    <xf numFmtId="0" fontId="3" fillId="3" borderId="0" xfId="0" applyFont="1" applyFill="1"/>
    <xf numFmtId="0" fontId="5" fillId="3" borderId="0" xfId="0" applyFont="1" applyFill="1"/>
    <xf numFmtId="167" fontId="3" fillId="3" borderId="0" xfId="0" applyNumberFormat="1" applyFont="1" applyFill="1"/>
    <xf numFmtId="2" fontId="3" fillId="3" borderId="3" xfId="0" applyNumberFormat="1" applyFont="1" applyFill="1" applyBorder="1"/>
    <xf numFmtId="2" fontId="3" fillId="3" borderId="4" xfId="0" applyNumberFormat="1" applyFont="1" applyFill="1" applyBorder="1"/>
    <xf numFmtId="2" fontId="5" fillId="3" borderId="3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3" fillId="3" borderId="5" xfId="0" applyNumberFormat="1" applyFont="1" applyFill="1" applyBorder="1"/>
    <xf numFmtId="167" fontId="5" fillId="3" borderId="0" xfId="0" applyNumberFormat="1" applyFont="1" applyFill="1"/>
    <xf numFmtId="2" fontId="10" fillId="3" borderId="5" xfId="0" applyNumberFormat="1" applyFont="1" applyFill="1" applyBorder="1" applyAlignment="1">
      <alignment horizontal="center"/>
    </xf>
    <xf numFmtId="0" fontId="1" fillId="3" borderId="0" xfId="0" applyFont="1" applyFill="1"/>
    <xf numFmtId="2" fontId="9" fillId="3" borderId="0" xfId="0" applyNumberFormat="1" applyFont="1" applyFill="1" applyBorder="1"/>
    <xf numFmtId="0" fontId="1" fillId="3" borderId="0" xfId="0" applyFont="1" applyFill="1" applyBorder="1"/>
    <xf numFmtId="0" fontId="4" fillId="3" borderId="0" xfId="0" applyNumberFormat="1" applyFont="1" applyFill="1" applyAlignment="1" applyProtection="1">
      <alignment horizontal="right"/>
      <protection locked="0"/>
    </xf>
    <xf numFmtId="0" fontId="7" fillId="3" borderId="0" xfId="0" applyFont="1" applyFill="1"/>
    <xf numFmtId="0" fontId="0" fillId="3" borderId="0" xfId="0" applyFill="1"/>
    <xf numFmtId="3" fontId="14" fillId="3" borderId="0" xfId="0" applyNumberFormat="1" applyFont="1" applyFill="1" applyBorder="1" applyAlignment="1" applyProtection="1">
      <alignment horizontal="right"/>
      <protection locked="0"/>
    </xf>
    <xf numFmtId="3" fontId="14" fillId="3" borderId="0" xfId="0" applyNumberFormat="1" applyFont="1" applyFill="1" applyBorder="1"/>
    <xf numFmtId="4" fontId="11" fillId="3" borderId="0" xfId="0" applyNumberFormat="1" applyFont="1" applyFill="1"/>
    <xf numFmtId="4" fontId="5" fillId="3" borderId="0" xfId="0" applyNumberFormat="1" applyFont="1" applyFill="1"/>
    <xf numFmtId="0" fontId="15" fillId="3" borderId="0" xfId="0" applyFont="1" applyFill="1" applyBorder="1"/>
    <xf numFmtId="167" fontId="8" fillId="3" borderId="0" xfId="0" applyNumberFormat="1" applyFont="1" applyFill="1"/>
    <xf numFmtId="0" fontId="10" fillId="3" borderId="0" xfId="0" applyFont="1" applyFill="1"/>
    <xf numFmtId="167" fontId="10" fillId="3" borderId="0" xfId="0" applyNumberFormat="1" applyFont="1" applyFill="1"/>
    <xf numFmtId="167" fontId="10" fillId="3" borderId="0" xfId="0" applyNumberFormat="1" applyFont="1" applyFill="1" applyBorder="1"/>
    <xf numFmtId="167" fontId="5" fillId="3" borderId="0" xfId="0" applyNumberFormat="1" applyFont="1" applyFill="1" applyBorder="1"/>
    <xf numFmtId="2" fontId="10" fillId="3" borderId="0" xfId="0" applyNumberFormat="1" applyFont="1" applyFill="1" applyBorder="1" applyAlignment="1">
      <alignment horizontal="center"/>
    </xf>
    <xf numFmtId="2" fontId="19" fillId="3" borderId="0" xfId="0" applyNumberFormat="1" applyFont="1" applyFill="1" applyBorder="1"/>
    <xf numFmtId="14" fontId="1" fillId="3" borderId="0" xfId="0" applyNumberFormat="1" applyFont="1" applyFill="1"/>
    <xf numFmtId="3" fontId="8" fillId="3" borderId="0" xfId="0" applyNumberFormat="1" applyFont="1" applyFill="1" applyBorder="1" applyProtection="1">
      <protection hidden="1"/>
    </xf>
    <xf numFmtId="4" fontId="3" fillId="2" borderId="7" xfId="0" applyNumberFormat="1" applyFont="1" applyFill="1" applyBorder="1" applyProtection="1">
      <protection locked="0"/>
    </xf>
    <xf numFmtId="4" fontId="3" fillId="2" borderId="8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Protection="1">
      <protection hidden="1"/>
    </xf>
    <xf numFmtId="167" fontId="3" fillId="3" borderId="9" xfId="0" applyNumberFormat="1" applyFont="1" applyFill="1" applyBorder="1" applyProtection="1">
      <protection hidden="1"/>
    </xf>
    <xf numFmtId="167" fontId="3" fillId="3" borderId="1" xfId="0" applyNumberFormat="1" applyFont="1" applyFill="1" applyBorder="1" applyProtection="1">
      <protection hidden="1"/>
    </xf>
    <xf numFmtId="167" fontId="3" fillId="3" borderId="2" xfId="0" applyNumberFormat="1" applyFont="1" applyFill="1" applyBorder="1" applyProtection="1">
      <protection hidden="1"/>
    </xf>
    <xf numFmtId="167" fontId="3" fillId="3" borderId="6" xfId="0" applyNumberFormat="1" applyFont="1" applyFill="1" applyBorder="1" applyProtection="1">
      <protection hidden="1"/>
    </xf>
    <xf numFmtId="167" fontId="3" fillId="3" borderId="0" xfId="0" applyNumberFormat="1" applyFont="1" applyFill="1" applyBorder="1" applyProtection="1">
      <protection hidden="1"/>
    </xf>
    <xf numFmtId="167" fontId="3" fillId="3" borderId="10" xfId="0" applyNumberFormat="1" applyFont="1" applyFill="1" applyBorder="1" applyProtection="1">
      <protection hidden="1"/>
    </xf>
    <xf numFmtId="167" fontId="3" fillId="3" borderId="11" xfId="0" applyNumberFormat="1" applyFont="1" applyFill="1" applyBorder="1" applyProtection="1">
      <protection hidden="1"/>
    </xf>
    <xf numFmtId="167" fontId="5" fillId="3" borderId="12" xfId="0" applyNumberFormat="1" applyFont="1" applyFill="1" applyBorder="1" applyProtection="1">
      <protection hidden="1"/>
    </xf>
    <xf numFmtId="167" fontId="5" fillId="3" borderId="13" xfId="0" applyNumberFormat="1" applyFont="1" applyFill="1" applyBorder="1" applyProtection="1">
      <protection hidden="1"/>
    </xf>
    <xf numFmtId="167" fontId="8" fillId="3" borderId="9" xfId="0" applyNumberFormat="1" applyFont="1" applyFill="1" applyBorder="1" applyProtection="1">
      <protection hidden="1"/>
    </xf>
    <xf numFmtId="167" fontId="8" fillId="3" borderId="1" xfId="0" applyNumberFormat="1" applyFont="1" applyFill="1" applyBorder="1" applyProtection="1">
      <protection hidden="1"/>
    </xf>
    <xf numFmtId="167" fontId="8" fillId="3" borderId="2" xfId="0" applyNumberFormat="1" applyFont="1" applyFill="1" applyBorder="1" applyProtection="1">
      <protection hidden="1"/>
    </xf>
    <xf numFmtId="167" fontId="8" fillId="3" borderId="6" xfId="0" applyNumberFormat="1" applyFont="1" applyFill="1" applyBorder="1" applyProtection="1">
      <protection hidden="1"/>
    </xf>
    <xf numFmtId="167" fontId="3" fillId="3" borderId="12" xfId="0" applyNumberFormat="1" applyFont="1" applyFill="1" applyBorder="1" applyProtection="1">
      <protection hidden="1"/>
    </xf>
    <xf numFmtId="167" fontId="3" fillId="3" borderId="13" xfId="0" applyNumberFormat="1" applyFont="1" applyFill="1" applyBorder="1" applyProtection="1">
      <protection hidden="1"/>
    </xf>
    <xf numFmtId="167" fontId="10" fillId="3" borderId="11" xfId="0" applyNumberFormat="1" applyFont="1" applyFill="1" applyBorder="1" applyProtection="1">
      <protection hidden="1"/>
    </xf>
    <xf numFmtId="167" fontId="10" fillId="3" borderId="12" xfId="0" applyNumberFormat="1" applyFont="1" applyFill="1" applyBorder="1" applyProtection="1">
      <protection hidden="1"/>
    </xf>
    <xf numFmtId="167" fontId="10" fillId="3" borderId="13" xfId="0" applyNumberFormat="1" applyFont="1" applyFill="1" applyBorder="1" applyProtection="1">
      <protection hidden="1"/>
    </xf>
    <xf numFmtId="4" fontId="3" fillId="3" borderId="14" xfId="0" applyNumberFormat="1" applyFont="1" applyFill="1" applyBorder="1" applyProtection="1">
      <protection hidden="1"/>
    </xf>
    <xf numFmtId="168" fontId="3" fillId="3" borderId="6" xfId="0" applyNumberFormat="1" applyFont="1" applyFill="1" applyBorder="1" applyProtection="1">
      <protection hidden="1"/>
    </xf>
    <xf numFmtId="168" fontId="3" fillId="3" borderId="11" xfId="0" applyNumberFormat="1" applyFont="1" applyFill="1" applyBorder="1" applyProtection="1">
      <protection hidden="1"/>
    </xf>
    <xf numFmtId="3" fontId="3" fillId="3" borderId="11" xfId="0" applyNumberFormat="1" applyFont="1" applyFill="1" applyBorder="1" applyProtection="1">
      <protection hidden="1"/>
    </xf>
    <xf numFmtId="167" fontId="5" fillId="3" borderId="11" xfId="0" applyNumberFormat="1" applyFont="1" applyFill="1" applyBorder="1" applyProtection="1">
      <protection hidden="1"/>
    </xf>
    <xf numFmtId="3" fontId="1" fillId="3" borderId="0" xfId="0" applyNumberFormat="1" applyFont="1" applyFill="1"/>
    <xf numFmtId="165" fontId="1" fillId="3" borderId="0" xfId="0" applyNumberFormat="1" applyFont="1" applyFill="1"/>
    <xf numFmtId="167" fontId="3" fillId="3" borderId="3" xfId="0" applyNumberFormat="1" applyFont="1" applyFill="1" applyBorder="1" applyProtection="1">
      <protection hidden="1"/>
    </xf>
    <xf numFmtId="2" fontId="21" fillId="3" borderId="5" xfId="0" applyNumberFormat="1" applyFont="1" applyFill="1" applyBorder="1"/>
    <xf numFmtId="167" fontId="10" fillId="3" borderId="5" xfId="0" applyNumberFormat="1" applyFont="1" applyFill="1" applyBorder="1" applyProtection="1">
      <protection hidden="1"/>
    </xf>
    <xf numFmtId="167" fontId="1" fillId="3" borderId="0" xfId="0" applyNumberFormat="1" applyFont="1" applyFill="1"/>
    <xf numFmtId="167" fontId="5" fillId="3" borderId="0" xfId="0" applyNumberFormat="1" applyFont="1" applyFill="1" applyProtection="1">
      <protection hidden="1"/>
    </xf>
    <xf numFmtId="171" fontId="1" fillId="3" borderId="0" xfId="0" applyNumberFormat="1" applyFont="1" applyFill="1"/>
    <xf numFmtId="169" fontId="5" fillId="3" borderId="0" xfId="0" applyNumberFormat="1" applyFont="1" applyFill="1"/>
    <xf numFmtId="1" fontId="0" fillId="3" borderId="0" xfId="0" applyNumberFormat="1" applyFill="1"/>
    <xf numFmtId="3" fontId="5" fillId="3" borderId="0" xfId="0" applyNumberFormat="1" applyFont="1" applyFill="1" applyBorder="1"/>
    <xf numFmtId="2" fontId="22" fillId="3" borderId="0" xfId="0" applyNumberFormat="1" applyFont="1" applyFill="1" applyBorder="1" applyAlignment="1">
      <alignment horizontal="left"/>
    </xf>
    <xf numFmtId="167" fontId="3" fillId="3" borderId="4" xfId="0" applyNumberFormat="1" applyFont="1" applyFill="1" applyBorder="1" applyProtection="1">
      <protection hidden="1"/>
    </xf>
    <xf numFmtId="3" fontId="5" fillId="3" borderId="0" xfId="0" applyNumberFormat="1" applyFont="1" applyFill="1" applyProtection="1">
      <protection hidden="1"/>
    </xf>
    <xf numFmtId="167" fontId="5" fillId="2" borderId="1" xfId="0" applyNumberFormat="1" applyFont="1" applyFill="1" applyBorder="1" applyProtection="1">
      <protection locked="0"/>
    </xf>
    <xf numFmtId="167" fontId="5" fillId="2" borderId="2" xfId="0" applyNumberFormat="1" applyFont="1" applyFill="1" applyBorder="1" applyProtection="1">
      <protection locked="0"/>
    </xf>
    <xf numFmtId="167" fontId="5" fillId="2" borderId="0" xfId="0" applyNumberFormat="1" applyFont="1" applyFill="1" applyBorder="1" applyProtection="1">
      <protection locked="0"/>
    </xf>
    <xf numFmtId="167" fontId="5" fillId="2" borderId="10" xfId="0" applyNumberFormat="1" applyFont="1" applyFill="1" applyBorder="1" applyProtection="1">
      <protection locked="0"/>
    </xf>
    <xf numFmtId="167" fontId="5" fillId="2" borderId="12" xfId="0" applyNumberFormat="1" applyFont="1" applyFill="1" applyBorder="1" applyProtection="1">
      <protection locked="0"/>
    </xf>
    <xf numFmtId="167" fontId="5" fillId="2" borderId="13" xfId="0" applyNumberFormat="1" applyFont="1" applyFill="1" applyBorder="1" applyProtection="1">
      <protection locked="0"/>
    </xf>
    <xf numFmtId="0" fontId="23" fillId="3" borderId="0" xfId="0" applyFont="1" applyFill="1"/>
    <xf numFmtId="0" fontId="3" fillId="3" borderId="0" xfId="0" applyFont="1" applyFill="1" applyProtection="1">
      <protection locked="0"/>
    </xf>
    <xf numFmtId="3" fontId="10" fillId="3" borderId="12" xfId="0" applyNumberFormat="1" applyFont="1" applyFill="1" applyBorder="1" applyProtection="1">
      <protection hidden="1"/>
    </xf>
    <xf numFmtId="3" fontId="10" fillId="3" borderId="13" xfId="0" applyNumberFormat="1" applyFont="1" applyFill="1" applyBorder="1" applyProtection="1">
      <protection hidden="1"/>
    </xf>
    <xf numFmtId="3" fontId="5" fillId="3" borderId="0" xfId="0" applyNumberFormat="1" applyFont="1" applyFill="1" applyBorder="1" applyProtection="1">
      <protection hidden="1"/>
    </xf>
    <xf numFmtId="3" fontId="3" fillId="3" borderId="0" xfId="0" applyNumberFormat="1" applyFont="1" applyFill="1" applyProtection="1">
      <protection hidden="1"/>
    </xf>
    <xf numFmtId="3" fontId="20" fillId="3" borderId="0" xfId="0" applyNumberFormat="1" applyFont="1" applyFill="1" applyProtection="1">
      <protection hidden="1"/>
    </xf>
    <xf numFmtId="3" fontId="20" fillId="3" borderId="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5" fillId="3" borderId="0" xfId="0" applyFont="1" applyFill="1" applyAlignment="1" applyProtection="1">
      <alignment horizontal="right"/>
      <protection hidden="1"/>
    </xf>
    <xf numFmtId="6" fontId="5" fillId="3" borderId="0" xfId="0" applyNumberFormat="1" applyFont="1" applyFill="1" applyProtection="1">
      <protection hidden="1"/>
    </xf>
    <xf numFmtId="3" fontId="6" fillId="3" borderId="0" xfId="0" applyNumberFormat="1" applyFont="1" applyFill="1" applyProtection="1">
      <protection hidden="1"/>
    </xf>
    <xf numFmtId="3" fontId="1" fillId="3" borderId="0" xfId="0" applyNumberFormat="1" applyFont="1" applyFill="1" applyProtection="1">
      <protection hidden="1"/>
    </xf>
    <xf numFmtId="167" fontId="5" fillId="3" borderId="0" xfId="0" applyNumberFormat="1" applyFont="1" applyFill="1" applyBorder="1" applyProtection="1">
      <protection hidden="1"/>
    </xf>
    <xf numFmtId="167" fontId="5" fillId="3" borderId="10" xfId="0" applyNumberFormat="1" applyFont="1" applyFill="1" applyBorder="1" applyProtection="1">
      <protection hidden="1"/>
    </xf>
    <xf numFmtId="0" fontId="13" fillId="3" borderId="0" xfId="0" applyFont="1" applyFill="1" applyProtection="1">
      <protection hidden="1"/>
    </xf>
    <xf numFmtId="167" fontId="17" fillId="3" borderId="0" xfId="0" applyNumberFormat="1" applyFont="1" applyFill="1"/>
    <xf numFmtId="172" fontId="5" fillId="3" borderId="0" xfId="0" applyNumberFormat="1" applyFont="1" applyFill="1" applyBorder="1"/>
    <xf numFmtId="0" fontId="8" fillId="3" borderId="0" xfId="0" applyFont="1" applyFill="1"/>
    <xf numFmtId="0" fontId="25" fillId="3" borderId="0" xfId="0" applyFont="1" applyFill="1"/>
    <xf numFmtId="3" fontId="3" fillId="3" borderId="5" xfId="0" applyNumberFormat="1" applyFont="1" applyFill="1" applyBorder="1" applyProtection="1">
      <protection hidden="1"/>
    </xf>
    <xf numFmtId="4" fontId="3" fillId="3" borderId="15" xfId="0" applyNumberFormat="1" applyFont="1" applyFill="1" applyBorder="1" applyProtection="1">
      <protection hidden="1"/>
    </xf>
    <xf numFmtId="3" fontId="5" fillId="3" borderId="5" xfId="0" applyNumberFormat="1" applyFont="1" applyFill="1" applyBorder="1" applyProtection="1">
      <protection hidden="1"/>
    </xf>
    <xf numFmtId="167" fontId="8" fillId="3" borderId="3" xfId="0" applyNumberFormat="1" applyFont="1" applyFill="1" applyBorder="1" applyProtection="1">
      <protection hidden="1"/>
    </xf>
    <xf numFmtId="167" fontId="8" fillId="3" borderId="4" xfId="0" applyNumberFormat="1" applyFont="1" applyFill="1" applyBorder="1" applyProtection="1">
      <protection hidden="1"/>
    </xf>
    <xf numFmtId="167" fontId="3" fillId="3" borderId="5" xfId="0" applyNumberFormat="1" applyFont="1" applyFill="1" applyBorder="1" applyProtection="1">
      <protection hidden="1"/>
    </xf>
    <xf numFmtId="167" fontId="8" fillId="3" borderId="5" xfId="0" applyNumberFormat="1" applyFont="1" applyFill="1" applyBorder="1" applyProtection="1">
      <protection hidden="1"/>
    </xf>
    <xf numFmtId="3" fontId="10" fillId="3" borderId="11" xfId="0" applyNumberFormat="1" applyFont="1" applyFill="1" applyBorder="1" applyProtection="1">
      <protection hidden="1"/>
    </xf>
    <xf numFmtId="168" fontId="10" fillId="3" borderId="0" xfId="0" applyNumberFormat="1" applyFont="1" applyFill="1" applyBorder="1"/>
    <xf numFmtId="0" fontId="4" fillId="0" borderId="0" xfId="0" applyNumberFormat="1" applyFont="1" applyFill="1" applyAlignment="1" applyProtection="1">
      <alignment horizontal="right"/>
      <protection locked="0"/>
    </xf>
    <xf numFmtId="3" fontId="1" fillId="3" borderId="11" xfId="0" applyNumberFormat="1" applyFont="1" applyFill="1" applyBorder="1" applyProtection="1">
      <protection hidden="1"/>
    </xf>
    <xf numFmtId="167" fontId="1" fillId="3" borderId="11" xfId="0" applyNumberFormat="1" applyFont="1" applyFill="1" applyBorder="1" applyProtection="1">
      <protection hidden="1"/>
    </xf>
    <xf numFmtId="167" fontId="8" fillId="3" borderId="11" xfId="0" applyNumberFormat="1" applyFont="1" applyFill="1" applyBorder="1" applyProtection="1">
      <protection hidden="1"/>
    </xf>
    <xf numFmtId="0" fontId="17" fillId="3" borderId="9" xfId="0" applyFont="1" applyFill="1" applyBorder="1" applyAlignment="1">
      <alignment horizontal="right"/>
    </xf>
    <xf numFmtId="167" fontId="1" fillId="3" borderId="0" xfId="0" applyNumberFormat="1" applyFont="1" applyFill="1" applyBorder="1"/>
    <xf numFmtId="3" fontId="1" fillId="3" borderId="0" xfId="0" applyNumberFormat="1" applyFont="1" applyFill="1" applyBorder="1"/>
    <xf numFmtId="0" fontId="1" fillId="3" borderId="0" xfId="0" applyFont="1" applyFill="1" applyProtection="1">
      <protection hidden="1"/>
    </xf>
    <xf numFmtId="167" fontId="10" fillId="0" borderId="11" xfId="0" applyNumberFormat="1" applyFont="1" applyFill="1" applyBorder="1" applyProtection="1">
      <protection hidden="1"/>
    </xf>
    <xf numFmtId="167" fontId="10" fillId="0" borderId="5" xfId="0" applyNumberFormat="1" applyFont="1" applyFill="1" applyBorder="1" applyProtection="1">
      <protection hidden="1"/>
    </xf>
    <xf numFmtId="168" fontId="3" fillId="0" borderId="4" xfId="0" applyNumberFormat="1" applyFont="1" applyFill="1" applyBorder="1" applyProtection="1">
      <protection hidden="1"/>
    </xf>
    <xf numFmtId="168" fontId="3" fillId="0" borderId="5" xfId="0" applyNumberFormat="1" applyFont="1" applyFill="1" applyBorder="1" applyProtection="1">
      <protection hidden="1"/>
    </xf>
    <xf numFmtId="167" fontId="12" fillId="3" borderId="0" xfId="0" applyNumberFormat="1" applyFont="1" applyFill="1"/>
    <xf numFmtId="0" fontId="5" fillId="0" borderId="0" xfId="0" applyFont="1" applyFill="1"/>
    <xf numFmtId="3" fontId="5" fillId="3" borderId="4" xfId="0" applyNumberFormat="1" applyFont="1" applyFill="1" applyBorder="1" applyProtection="1">
      <protection hidden="1"/>
    </xf>
    <xf numFmtId="167" fontId="5" fillId="3" borderId="4" xfId="0" applyNumberFormat="1" applyFont="1" applyFill="1" applyBorder="1" applyProtection="1">
      <protection hidden="1"/>
    </xf>
    <xf numFmtId="167" fontId="5" fillId="2" borderId="3" xfId="0" applyNumberFormat="1" applyFont="1" applyFill="1" applyBorder="1" applyProtection="1">
      <protection locked="0"/>
    </xf>
    <xf numFmtId="167" fontId="5" fillId="2" borderId="4" xfId="0" applyNumberFormat="1" applyFont="1" applyFill="1" applyBorder="1" applyProtection="1">
      <protection locked="0"/>
    </xf>
    <xf numFmtId="167" fontId="5" fillId="2" borderId="5" xfId="0" applyNumberFormat="1" applyFont="1" applyFill="1" applyBorder="1" applyProtection="1">
      <protection locked="0"/>
    </xf>
    <xf numFmtId="0" fontId="5" fillId="3" borderId="4" xfId="0" applyFont="1" applyFill="1" applyBorder="1" applyProtection="1">
      <protection hidden="1"/>
    </xf>
    <xf numFmtId="0" fontId="26" fillId="0" borderId="0" xfId="0" applyFont="1"/>
    <xf numFmtId="0" fontId="20" fillId="0" borderId="0" xfId="0" applyFont="1" applyFill="1"/>
    <xf numFmtId="0" fontId="20" fillId="0" borderId="0" xfId="0" applyFont="1"/>
    <xf numFmtId="0" fontId="28" fillId="3" borderId="0" xfId="0" applyFont="1" applyFill="1" applyProtection="1">
      <protection hidden="1"/>
    </xf>
    <xf numFmtId="0" fontId="6" fillId="0" borderId="0" xfId="0" applyFont="1"/>
    <xf numFmtId="0" fontId="6" fillId="3" borderId="0" xfId="0" applyFont="1" applyFill="1" applyProtection="1">
      <protection hidden="1"/>
    </xf>
    <xf numFmtId="0" fontId="6" fillId="3" borderId="0" xfId="0" applyFont="1" applyFill="1"/>
    <xf numFmtId="0" fontId="20" fillId="3" borderId="0" xfId="0" applyFont="1" applyFill="1" applyProtection="1">
      <protection hidden="1"/>
    </xf>
    <xf numFmtId="0" fontId="20" fillId="3" borderId="0" xfId="0" applyFont="1" applyFill="1"/>
    <xf numFmtId="0" fontId="8" fillId="0" borderId="0" xfId="0" applyFont="1" applyFill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1" fontId="8" fillId="0" borderId="0" xfId="0" applyNumberFormat="1" applyFont="1" applyFill="1" applyProtection="1">
      <protection hidden="1"/>
    </xf>
    <xf numFmtId="0" fontId="8" fillId="0" borderId="0" xfId="0" applyFont="1" applyFill="1"/>
    <xf numFmtId="2" fontId="8" fillId="0" borderId="0" xfId="0" applyNumberFormat="1" applyFont="1" applyFill="1" applyBorder="1" applyProtection="1">
      <protection hidden="1"/>
    </xf>
    <xf numFmtId="2" fontId="3" fillId="0" borderId="0" xfId="0" applyNumberFormat="1" applyFont="1" applyFill="1" applyBorder="1" applyProtection="1">
      <protection hidden="1"/>
    </xf>
    <xf numFmtId="2" fontId="8" fillId="0" borderId="0" xfId="0" applyNumberFormat="1" applyFont="1" applyFill="1" applyBorder="1" applyAlignment="1" applyProtection="1">
      <alignment horizontal="center"/>
      <protection hidden="1"/>
    </xf>
    <xf numFmtId="2" fontId="3" fillId="0" borderId="3" xfId="0" applyNumberFormat="1" applyFont="1" applyFill="1" applyBorder="1" applyProtection="1">
      <protection hidden="1"/>
    </xf>
    <xf numFmtId="2" fontId="3" fillId="0" borderId="15" xfId="0" applyNumberFormat="1" applyFont="1" applyFill="1" applyBorder="1" applyProtection="1">
      <protection hidden="1"/>
    </xf>
    <xf numFmtId="2" fontId="10" fillId="0" borderId="5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1" fontId="3" fillId="0" borderId="3" xfId="0" applyNumberFormat="1" applyFont="1" applyFill="1" applyBorder="1" applyProtection="1">
      <protection hidden="1"/>
    </xf>
    <xf numFmtId="2" fontId="8" fillId="0" borderId="0" xfId="0" applyNumberFormat="1" applyFont="1" applyFill="1" applyAlignment="1" applyProtection="1">
      <alignment horizontal="right"/>
      <protection hidden="1"/>
    </xf>
    <xf numFmtId="168" fontId="8" fillId="0" borderId="0" xfId="0" applyNumberFormat="1" applyFont="1" applyFill="1" applyProtection="1">
      <protection hidden="1"/>
    </xf>
    <xf numFmtId="3" fontId="8" fillId="0" borderId="0" xfId="0" applyNumberFormat="1" applyFont="1" applyFill="1" applyProtection="1">
      <protection hidden="1"/>
    </xf>
    <xf numFmtId="0" fontId="8" fillId="0" borderId="4" xfId="0" applyNumberFormat="1" applyFont="1" applyFill="1" applyBorder="1" applyAlignment="1" applyProtection="1">
      <alignment horizontal="left"/>
      <protection hidden="1"/>
    </xf>
    <xf numFmtId="0" fontId="3" fillId="0" borderId="0" xfId="0" applyFont="1" applyFill="1" applyAlignment="1" applyProtection="1">
      <alignment horizontal="left"/>
      <protection hidden="1"/>
    </xf>
    <xf numFmtId="3" fontId="8" fillId="0" borderId="0" xfId="0" applyNumberFormat="1" applyFont="1" applyFill="1"/>
    <xf numFmtId="1" fontId="8" fillId="0" borderId="0" xfId="0" applyNumberFormat="1" applyFont="1" applyFill="1"/>
    <xf numFmtId="0" fontId="3" fillId="4" borderId="0" xfId="0" applyFont="1" applyFill="1" applyProtection="1">
      <protection hidden="1"/>
    </xf>
    <xf numFmtId="0" fontId="8" fillId="4" borderId="0" xfId="0" applyFont="1" applyFill="1" applyProtection="1"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0" borderId="0" xfId="0" applyFont="1" applyFill="1" applyProtection="1">
      <protection hidden="1"/>
    </xf>
    <xf numFmtId="0" fontId="10" fillId="0" borderId="0" xfId="0" applyFont="1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Border="1"/>
    <xf numFmtId="167" fontId="8" fillId="0" borderId="0" xfId="0" applyNumberFormat="1" applyFont="1" applyFill="1" applyProtection="1">
      <protection hidden="1"/>
    </xf>
    <xf numFmtId="1" fontId="3" fillId="0" borderId="0" xfId="0" applyNumberFormat="1" applyFont="1" applyFill="1" applyProtection="1">
      <protection hidden="1"/>
    </xf>
    <xf numFmtId="2" fontId="8" fillId="3" borderId="4" xfId="0" applyNumberFormat="1" applyFont="1" applyFill="1" applyBorder="1"/>
    <xf numFmtId="0" fontId="1" fillId="2" borderId="4" xfId="0" applyFont="1" applyFill="1" applyBorder="1" applyProtection="1">
      <protection locked="0"/>
    </xf>
    <xf numFmtId="167" fontId="1" fillId="2" borderId="10" xfId="0" applyNumberFormat="1" applyFont="1" applyFill="1" applyBorder="1" applyProtection="1">
      <protection locked="0"/>
    </xf>
    <xf numFmtId="3" fontId="10" fillId="3" borderId="0" xfId="0" applyNumberFormat="1" applyFont="1" applyFill="1" applyBorder="1"/>
    <xf numFmtId="3" fontId="8" fillId="3" borderId="12" xfId="0" applyNumberFormat="1" applyFont="1" applyFill="1" applyBorder="1" applyProtection="1">
      <protection hidden="1"/>
    </xf>
    <xf numFmtId="167" fontId="10" fillId="3" borderId="6" xfId="0" applyNumberFormat="1" applyFont="1" applyFill="1" applyBorder="1" applyProtection="1">
      <protection hidden="1"/>
    </xf>
    <xf numFmtId="167" fontId="10" fillId="3" borderId="0" xfId="0" applyNumberFormat="1" applyFont="1" applyFill="1" applyBorder="1" applyProtection="1">
      <protection hidden="1"/>
    </xf>
    <xf numFmtId="167" fontId="10" fillId="3" borderId="10" xfId="0" applyNumberFormat="1" applyFont="1" applyFill="1" applyBorder="1" applyProtection="1">
      <protection hidden="1"/>
    </xf>
    <xf numFmtId="167" fontId="5" fillId="3" borderId="4" xfId="0" applyNumberFormat="1" applyFont="1" applyFill="1" applyBorder="1"/>
    <xf numFmtId="167" fontId="1" fillId="3" borderId="0" xfId="0" applyNumberFormat="1" applyFont="1" applyFill="1" applyBorder="1" applyProtection="1">
      <protection hidden="1"/>
    </xf>
    <xf numFmtId="0" fontId="8" fillId="3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1" fillId="3" borderId="0" xfId="0" applyFont="1" applyFill="1" applyAlignment="1" applyProtection="1">
      <alignment horizontal="left"/>
      <protection hidden="1"/>
    </xf>
    <xf numFmtId="3" fontId="3" fillId="3" borderId="0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3" fontId="27" fillId="3" borderId="0" xfId="0" applyNumberFormat="1" applyFont="1" applyFill="1" applyProtection="1">
      <protection hidden="1"/>
    </xf>
    <xf numFmtId="167" fontId="1" fillId="3" borderId="9" xfId="0" applyNumberFormat="1" applyFont="1" applyFill="1" applyBorder="1"/>
    <xf numFmtId="167" fontId="3" fillId="3" borderId="7" xfId="0" applyNumberFormat="1" applyFont="1" applyFill="1" applyBorder="1" applyProtection="1">
      <protection hidden="1"/>
    </xf>
    <xf numFmtId="167" fontId="3" fillId="3" borderId="8" xfId="0" applyNumberFormat="1" applyFont="1" applyFill="1" applyBorder="1" applyProtection="1">
      <protection hidden="1"/>
    </xf>
    <xf numFmtId="167" fontId="5" fillId="3" borderId="1" xfId="0" applyNumberFormat="1" applyFont="1" applyFill="1" applyBorder="1"/>
    <xf numFmtId="0" fontId="8" fillId="3" borderId="3" xfId="0" applyFont="1" applyFill="1" applyBorder="1"/>
    <xf numFmtId="0" fontId="29" fillId="3" borderId="0" xfId="0" applyFont="1" applyFill="1"/>
    <xf numFmtId="0" fontId="10" fillId="3" borderId="4" xfId="0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3" fontId="8" fillId="3" borderId="10" xfId="0" applyNumberFormat="1" applyFont="1" applyFill="1" applyBorder="1" applyProtection="1">
      <protection hidden="1"/>
    </xf>
    <xf numFmtId="167" fontId="29" fillId="3" borderId="0" xfId="0" applyNumberFormat="1" applyFont="1" applyFill="1"/>
    <xf numFmtId="167" fontId="10" fillId="3" borderId="1" xfId="0" applyNumberFormat="1" applyFont="1" applyFill="1" applyBorder="1"/>
    <xf numFmtId="2" fontId="19" fillId="3" borderId="0" xfId="0" applyNumberFormat="1" applyFont="1" applyFill="1" applyBorder="1" applyAlignment="1">
      <alignment horizontal="left"/>
    </xf>
    <xf numFmtId="2" fontId="30" fillId="3" borderId="3" xfId="0" applyNumberFormat="1" applyFont="1" applyFill="1" applyBorder="1"/>
    <xf numFmtId="3" fontId="8" fillId="3" borderId="6" xfId="0" applyNumberFormat="1" applyFont="1" applyFill="1" applyBorder="1" applyProtection="1">
      <protection hidden="1"/>
    </xf>
    <xf numFmtId="3" fontId="8" fillId="3" borderId="13" xfId="0" applyNumberFormat="1" applyFont="1" applyFill="1" applyBorder="1" applyProtection="1">
      <protection hidden="1"/>
    </xf>
    <xf numFmtId="2" fontId="8" fillId="3" borderId="3" xfId="0" applyNumberFormat="1" applyFont="1" applyFill="1" applyBorder="1"/>
    <xf numFmtId="2" fontId="8" fillId="3" borderId="5" xfId="0" applyNumberFormat="1" applyFont="1" applyFill="1" applyBorder="1"/>
    <xf numFmtId="2" fontId="8" fillId="3" borderId="3" xfId="0" applyNumberFormat="1" applyFont="1" applyFill="1" applyBorder="1" applyAlignment="1">
      <alignment horizontal="left"/>
    </xf>
    <xf numFmtId="167" fontId="5" fillId="3" borderId="2" xfId="0" applyNumberFormat="1" applyFont="1" applyFill="1" applyBorder="1"/>
    <xf numFmtId="2" fontId="8" fillId="3" borderId="4" xfId="0" applyNumberFormat="1" applyFont="1" applyFill="1" applyBorder="1" applyAlignment="1">
      <alignment horizontal="left"/>
    </xf>
    <xf numFmtId="2" fontId="8" fillId="3" borderId="5" xfId="0" applyNumberFormat="1" applyFont="1" applyFill="1" applyBorder="1" applyAlignment="1">
      <alignment horizontal="left"/>
    </xf>
    <xf numFmtId="167" fontId="1" fillId="3" borderId="11" xfId="0" applyNumberFormat="1" applyFont="1" applyFill="1" applyBorder="1"/>
    <xf numFmtId="167" fontId="5" fillId="3" borderId="9" xfId="0" applyNumberFormat="1" applyFont="1" applyFill="1" applyBorder="1"/>
    <xf numFmtId="2" fontId="19" fillId="3" borderId="3" xfId="0" applyNumberFormat="1" applyFont="1" applyFill="1" applyBorder="1"/>
    <xf numFmtId="2" fontId="3" fillId="0" borderId="4" xfId="0" applyNumberFormat="1" applyFont="1" applyFill="1" applyBorder="1"/>
    <xf numFmtId="3" fontId="5" fillId="3" borderId="10" xfId="0" applyNumberFormat="1" applyFont="1" applyFill="1" applyBorder="1" applyProtection="1">
      <protection hidden="1"/>
    </xf>
    <xf numFmtId="2" fontId="5" fillId="3" borderId="4" xfId="0" applyNumberFormat="1" applyFont="1" applyFill="1" applyBorder="1"/>
    <xf numFmtId="0" fontId="8" fillId="3" borderId="4" xfId="0" applyFont="1" applyFill="1" applyBorder="1"/>
    <xf numFmtId="3" fontId="8" fillId="3" borderId="0" xfId="0" applyNumberFormat="1" applyFont="1" applyFill="1" applyProtection="1">
      <protection hidden="1"/>
    </xf>
    <xf numFmtId="2" fontId="3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3" fontId="8" fillId="3" borderId="0" xfId="0" applyNumberFormat="1" applyFont="1" applyFill="1" applyBorder="1"/>
    <xf numFmtId="3" fontId="8" fillId="3" borderId="0" xfId="0" applyNumberFormat="1" applyFont="1" applyFill="1"/>
    <xf numFmtId="2" fontId="3" fillId="0" borderId="0" xfId="0" applyNumberFormat="1" applyFont="1" applyFill="1" applyBorder="1" applyAlignment="1" applyProtection="1">
      <alignment horizontal="left"/>
      <protection hidden="1"/>
    </xf>
    <xf numFmtId="3" fontId="8" fillId="0" borderId="0" xfId="0" applyNumberFormat="1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166" fontId="2" fillId="2" borderId="14" xfId="0" applyNumberFormat="1" applyFont="1" applyFill="1" applyBorder="1" applyAlignment="1" applyProtection="1">
      <alignment horizontal="center"/>
      <protection locked="0"/>
    </xf>
    <xf numFmtId="4" fontId="2" fillId="2" borderId="14" xfId="0" applyNumberFormat="1" applyFont="1" applyFill="1" applyBorder="1" applyAlignment="1" applyProtection="1">
      <alignment horizontal="center"/>
      <protection locked="0"/>
    </xf>
    <xf numFmtId="9" fontId="2" fillId="2" borderId="14" xfId="0" applyNumberFormat="1" applyFont="1" applyFill="1" applyBorder="1" applyAlignment="1" applyProtection="1">
      <alignment horizontal="center"/>
      <protection locked="0"/>
    </xf>
    <xf numFmtId="167" fontId="8" fillId="2" borderId="1" xfId="0" applyNumberFormat="1" applyFont="1" applyFill="1" applyBorder="1" applyProtection="1">
      <protection locked="0"/>
    </xf>
    <xf numFmtId="167" fontId="8" fillId="2" borderId="2" xfId="0" applyNumberFormat="1" applyFont="1" applyFill="1" applyBorder="1" applyProtection="1">
      <protection locked="0"/>
    </xf>
    <xf numFmtId="167" fontId="8" fillId="2" borderId="0" xfId="0" applyNumberFormat="1" applyFont="1" applyFill="1" applyBorder="1" applyProtection="1">
      <protection locked="0"/>
    </xf>
    <xf numFmtId="167" fontId="8" fillId="2" borderId="10" xfId="0" applyNumberFormat="1" applyFont="1" applyFill="1" applyBorder="1" applyProtection="1">
      <protection locked="0"/>
    </xf>
    <xf numFmtId="167" fontId="8" fillId="2" borderId="12" xfId="0" applyNumberFormat="1" applyFont="1" applyFill="1" applyBorder="1" applyProtection="1">
      <protection locked="0"/>
    </xf>
    <xf numFmtId="167" fontId="8" fillId="2" borderId="13" xfId="0" applyNumberFormat="1" applyFont="1" applyFill="1" applyBorder="1" applyProtection="1">
      <protection locked="0"/>
    </xf>
    <xf numFmtId="167" fontId="8" fillId="2" borderId="3" xfId="0" applyNumberFormat="1" applyFont="1" applyFill="1" applyBorder="1" applyProtection="1">
      <protection locked="0"/>
    </xf>
    <xf numFmtId="167" fontId="8" fillId="2" borderId="4" xfId="0" applyNumberFormat="1" applyFont="1" applyFill="1" applyBorder="1" applyProtection="1">
      <protection locked="0"/>
    </xf>
    <xf numFmtId="0" fontId="8" fillId="0" borderId="4" xfId="0" applyFont="1" applyBorder="1"/>
    <xf numFmtId="167" fontId="8" fillId="0" borderId="0" xfId="0" applyNumberFormat="1" applyFont="1" applyBorder="1"/>
    <xf numFmtId="167" fontId="8" fillId="0" borderId="10" xfId="0" applyNumberFormat="1" applyFont="1" applyBorder="1"/>
    <xf numFmtId="167" fontId="8" fillId="2" borderId="15" xfId="0" applyNumberFormat="1" applyFont="1" applyFill="1" applyBorder="1" applyProtection="1">
      <protection hidden="1"/>
    </xf>
    <xf numFmtId="167" fontId="8" fillId="2" borderId="7" xfId="0" applyNumberFormat="1" applyFont="1" applyFill="1" applyBorder="1" applyProtection="1">
      <protection hidden="1"/>
    </xf>
    <xf numFmtId="167" fontId="8" fillId="2" borderId="8" xfId="0" applyNumberFormat="1" applyFont="1" applyFill="1" applyBorder="1" applyProtection="1">
      <protection hidden="1"/>
    </xf>
    <xf numFmtId="0" fontId="34" fillId="3" borderId="0" xfId="0" applyFont="1" applyFill="1"/>
    <xf numFmtId="0" fontId="17" fillId="0" borderId="0" xfId="0" applyFont="1" applyFill="1" applyProtection="1">
      <protection hidden="1"/>
    </xf>
    <xf numFmtId="0" fontId="4" fillId="3" borderId="12" xfId="0" applyNumberFormat="1" applyFont="1" applyFill="1" applyBorder="1" applyAlignment="1" applyProtection="1">
      <alignment horizontal="right"/>
      <protection locked="0"/>
    </xf>
    <xf numFmtId="172" fontId="29" fillId="3" borderId="0" xfId="0" applyNumberFormat="1" applyFont="1" applyFill="1" applyBorder="1" applyAlignment="1">
      <alignment horizontal="left"/>
    </xf>
    <xf numFmtId="0" fontId="31" fillId="0" borderId="0" xfId="0" applyFont="1" applyFill="1" applyProtection="1">
      <protection hidden="1"/>
    </xf>
    <xf numFmtId="2" fontId="31" fillId="0" borderId="0" xfId="0" applyNumberFormat="1" applyFont="1" applyFill="1" applyAlignment="1" applyProtection="1">
      <alignment horizontal="right"/>
      <protection hidden="1"/>
    </xf>
    <xf numFmtId="2" fontId="31" fillId="0" borderId="0" xfId="0" applyNumberFormat="1" applyFont="1" applyFill="1" applyProtection="1">
      <protection hidden="1"/>
    </xf>
    <xf numFmtId="2" fontId="31" fillId="0" borderId="0" xfId="0" applyNumberFormat="1" applyFont="1" applyFill="1" applyBorder="1" applyAlignment="1" applyProtection="1">
      <alignment horizontal="right"/>
      <protection hidden="1"/>
    </xf>
    <xf numFmtId="0" fontId="31" fillId="0" borderId="0" xfId="0" applyFont="1" applyFill="1" applyBorder="1" applyAlignment="1" applyProtection="1">
      <alignment horizontal="right"/>
      <protection hidden="1"/>
    </xf>
    <xf numFmtId="0" fontId="3" fillId="3" borderId="6" xfId="0" applyNumberFormat="1" applyFont="1" applyFill="1" applyBorder="1" applyAlignment="1" applyProtection="1">
      <alignment horizontal="right"/>
      <protection locked="0"/>
    </xf>
    <xf numFmtId="0" fontId="3" fillId="3" borderId="4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Protection="1">
      <protection hidden="1"/>
    </xf>
    <xf numFmtId="0" fontId="8" fillId="5" borderId="0" xfId="0" applyFont="1" applyFill="1" applyProtection="1">
      <protection hidden="1"/>
    </xf>
    <xf numFmtId="0" fontId="10" fillId="5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/>
      <protection hidden="1"/>
    </xf>
    <xf numFmtId="2" fontId="19" fillId="2" borderId="0" xfId="0" applyNumberFormat="1" applyFont="1" applyFill="1" applyBorder="1"/>
    <xf numFmtId="0" fontId="8" fillId="0" borderId="0" xfId="0" applyFont="1" applyFill="1" applyAlignment="1" applyProtection="1">
      <alignment horizontal="center"/>
      <protection hidden="1"/>
    </xf>
    <xf numFmtId="0" fontId="6" fillId="0" borderId="0" xfId="0" applyFont="1" applyFill="1"/>
    <xf numFmtId="2" fontId="1" fillId="0" borderId="0" xfId="0" applyNumberFormat="1" applyFont="1" applyFill="1" applyAlignment="1" applyProtection="1">
      <alignment horizontal="right"/>
      <protection hidden="1"/>
    </xf>
    <xf numFmtId="2" fontId="1" fillId="0" borderId="0" xfId="0" applyNumberFormat="1" applyFont="1" applyFill="1" applyProtection="1">
      <protection hidden="1"/>
    </xf>
    <xf numFmtId="167" fontId="1" fillId="0" borderId="3" xfId="0" applyNumberFormat="1" applyFont="1" applyFill="1" applyBorder="1" applyAlignment="1" applyProtection="1">
      <alignment horizontal="left"/>
      <protection hidden="1"/>
    </xf>
    <xf numFmtId="167" fontId="1" fillId="0" borderId="0" xfId="0" applyNumberFormat="1" applyFont="1" applyFill="1" applyProtection="1">
      <protection hidden="1"/>
    </xf>
    <xf numFmtId="2" fontId="3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2" fontId="1" fillId="4" borderId="0" xfId="0" applyNumberFormat="1" applyFont="1" applyFill="1" applyBorder="1" applyProtection="1">
      <protection hidden="1"/>
    </xf>
    <xf numFmtId="3" fontId="3" fillId="3" borderId="12" xfId="0" applyNumberFormat="1" applyFont="1" applyFill="1" applyBorder="1" applyProtection="1">
      <protection hidden="1"/>
    </xf>
    <xf numFmtId="3" fontId="3" fillId="3" borderId="13" xfId="0" applyNumberFormat="1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167" fontId="8" fillId="0" borderId="0" xfId="0" applyNumberFormat="1" applyFont="1" applyFill="1" applyBorder="1"/>
    <xf numFmtId="0" fontId="17" fillId="0" borderId="0" xfId="0" applyFont="1" applyFill="1" applyAlignment="1" applyProtection="1">
      <alignment horizontal="center"/>
      <protection hidden="1"/>
    </xf>
    <xf numFmtId="2" fontId="3" fillId="0" borderId="0" xfId="0" applyNumberFormat="1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2" fontId="17" fillId="0" borderId="0" xfId="0" applyNumberFormat="1" applyFont="1" applyFill="1" applyAlignment="1" applyProtection="1">
      <alignment horizontal="center"/>
      <protection hidden="1"/>
    </xf>
    <xf numFmtId="0" fontId="1" fillId="3" borderId="15" xfId="0" applyFont="1" applyFill="1" applyBorder="1" applyAlignment="1">
      <alignment horizontal="left"/>
    </xf>
    <xf numFmtId="0" fontId="3" fillId="0" borderId="0" xfId="0" applyFont="1" applyFill="1" applyAlignment="1" applyProtection="1">
      <alignment horizontal="right"/>
      <protection hidden="1"/>
    </xf>
    <xf numFmtId="3" fontId="4" fillId="3" borderId="0" xfId="0" applyNumberFormat="1" applyFont="1" applyFill="1"/>
    <xf numFmtId="3" fontId="3" fillId="3" borderId="0" xfId="0" applyNumberFormat="1" applyFont="1" applyFill="1"/>
    <xf numFmtId="3" fontId="4" fillId="0" borderId="0" xfId="0" applyNumberFormat="1" applyFont="1"/>
    <xf numFmtId="3" fontId="3" fillId="0" borderId="0" xfId="0" applyNumberFormat="1" applyFont="1"/>
    <xf numFmtId="3" fontId="0" fillId="3" borderId="0" xfId="0" applyNumberFormat="1" applyFill="1"/>
    <xf numFmtId="3" fontId="0" fillId="0" borderId="0" xfId="0" applyNumberFormat="1"/>
    <xf numFmtId="172" fontId="4" fillId="3" borderId="0" xfId="0" applyNumberFormat="1" applyFont="1" applyFill="1"/>
    <xf numFmtId="165" fontId="1" fillId="0" borderId="0" xfId="0" applyNumberFormat="1" applyFont="1" applyFill="1"/>
    <xf numFmtId="167" fontId="3" fillId="0" borderId="0" xfId="0" applyNumberFormat="1" applyFont="1" applyFill="1" applyBorder="1" applyProtection="1">
      <protection hidden="1"/>
    </xf>
    <xf numFmtId="3" fontId="5" fillId="0" borderId="0" xfId="0" applyNumberFormat="1" applyFont="1" applyFill="1" applyBorder="1" applyProtection="1">
      <protection hidden="1"/>
    </xf>
    <xf numFmtId="167" fontId="5" fillId="0" borderId="0" xfId="0" applyNumberFormat="1" applyFont="1" applyFill="1" applyBorder="1" applyProtection="1">
      <protection hidden="1"/>
    </xf>
    <xf numFmtId="167" fontId="3" fillId="0" borderId="12" xfId="0" applyNumberFormat="1" applyFont="1" applyFill="1" applyBorder="1" applyProtection="1">
      <protection hidden="1"/>
    </xf>
    <xf numFmtId="167" fontId="10" fillId="0" borderId="12" xfId="0" applyNumberFormat="1" applyFont="1" applyFill="1" applyBorder="1" applyProtection="1">
      <protection hidden="1"/>
    </xf>
    <xf numFmtId="0" fontId="5" fillId="0" borderId="0" xfId="0" applyFont="1" applyFill="1" applyProtection="1">
      <protection hidden="1"/>
    </xf>
    <xf numFmtId="168" fontId="10" fillId="0" borderId="0" xfId="0" applyNumberFormat="1" applyFont="1" applyFill="1" applyBorder="1"/>
    <xf numFmtId="167" fontId="5" fillId="0" borderId="0" xfId="0" applyNumberFormat="1" applyFont="1" applyFill="1" applyBorder="1"/>
    <xf numFmtId="167" fontId="5" fillId="0" borderId="1" xfId="0" applyNumberFormat="1" applyFont="1" applyFill="1" applyBorder="1"/>
    <xf numFmtId="167" fontId="3" fillId="0" borderId="7" xfId="0" applyNumberFormat="1" applyFont="1" applyFill="1" applyBorder="1" applyProtection="1">
      <protection hidden="1"/>
    </xf>
    <xf numFmtId="167" fontId="8" fillId="0" borderId="1" xfId="0" applyNumberFormat="1" applyFont="1" applyFill="1" applyBorder="1" applyProtection="1">
      <protection hidden="1"/>
    </xf>
    <xf numFmtId="167" fontId="10" fillId="0" borderId="0" xfId="0" applyNumberFormat="1" applyFont="1" applyFill="1" applyBorder="1" applyProtection="1">
      <protection hidden="1"/>
    </xf>
    <xf numFmtId="3" fontId="8" fillId="0" borderId="12" xfId="0" applyNumberFormat="1" applyFont="1" applyFill="1" applyBorder="1" applyProtection="1">
      <protection hidden="1"/>
    </xf>
    <xf numFmtId="3" fontId="10" fillId="0" borderId="12" xfId="0" applyNumberFormat="1" applyFont="1" applyFill="1" applyBorder="1" applyProtection="1">
      <protection hidden="1"/>
    </xf>
    <xf numFmtId="167" fontId="5" fillId="0" borderId="12" xfId="0" applyNumberFormat="1" applyFont="1" applyFill="1" applyBorder="1" applyProtection="1">
      <protection hidden="1"/>
    </xf>
    <xf numFmtId="167" fontId="3" fillId="0" borderId="0" xfId="0" applyNumberFormat="1" applyFont="1" applyFill="1"/>
    <xf numFmtId="0" fontId="3" fillId="0" borderId="0" xfId="0" applyFont="1" applyFill="1"/>
    <xf numFmtId="3" fontId="1" fillId="0" borderId="0" xfId="0" applyNumberFormat="1" applyFont="1" applyFill="1" applyAlignment="1" applyProtection="1">
      <alignment horizontal="right"/>
      <protection locked="0"/>
    </xf>
    <xf numFmtId="1" fontId="1" fillId="0" borderId="0" xfId="0" applyNumberFormat="1" applyFont="1" applyFill="1" applyProtection="1">
      <protection hidden="1"/>
    </xf>
    <xf numFmtId="3" fontId="29" fillId="0" borderId="0" xfId="0" applyNumberFormat="1" applyFont="1" applyFill="1" applyAlignment="1" applyProtection="1">
      <alignment horizontal="right"/>
      <protection locked="0"/>
    </xf>
    <xf numFmtId="4" fontId="3" fillId="0" borderId="0" xfId="0" applyNumberFormat="1" applyFont="1" applyFill="1" applyAlignment="1" applyProtection="1">
      <alignment horizontal="center"/>
      <protection locked="0"/>
    </xf>
    <xf numFmtId="3" fontId="3" fillId="0" borderId="0" xfId="0" applyNumberFormat="1" applyFont="1" applyFill="1" applyAlignment="1" applyProtection="1">
      <alignment horizontal="center"/>
      <protection locked="0"/>
    </xf>
    <xf numFmtId="1" fontId="1" fillId="0" borderId="0" xfId="0" applyNumberFormat="1" applyFont="1" applyFill="1"/>
    <xf numFmtId="3" fontId="38" fillId="3" borderId="0" xfId="0" applyNumberFormat="1" applyFont="1" applyFill="1"/>
    <xf numFmtId="3" fontId="38" fillId="0" borderId="0" xfId="0" applyNumberFormat="1" applyFont="1"/>
    <xf numFmtId="167" fontId="38" fillId="0" borderId="0" xfId="0" applyNumberFormat="1" applyFont="1"/>
    <xf numFmtId="0" fontId="38" fillId="0" borderId="0" xfId="0" applyFont="1"/>
    <xf numFmtId="0" fontId="29" fillId="0" borderId="0" xfId="0" applyFont="1" applyFill="1" applyProtection="1">
      <protection hidden="1"/>
    </xf>
    <xf numFmtId="164" fontId="3" fillId="0" borderId="0" xfId="1" applyFont="1" applyFill="1" applyAlignment="1" applyProtection="1">
      <alignment horizontal="center"/>
      <protection hidden="1"/>
    </xf>
    <xf numFmtId="0" fontId="2" fillId="5" borderId="0" xfId="0" applyFont="1" applyFill="1" applyProtection="1">
      <protection hidden="1"/>
    </xf>
    <xf numFmtId="2" fontId="1" fillId="5" borderId="0" xfId="0" applyNumberFormat="1" applyFont="1" applyFill="1" applyBorder="1" applyProtection="1">
      <protection hidden="1"/>
    </xf>
    <xf numFmtId="3" fontId="8" fillId="5" borderId="0" xfId="0" applyNumberFormat="1" applyFont="1" applyFill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hidden="1"/>
    </xf>
    <xf numFmtId="3" fontId="8" fillId="5" borderId="0" xfId="0" applyNumberFormat="1" applyFont="1" applyFill="1"/>
    <xf numFmtId="0" fontId="3" fillId="5" borderId="0" xfId="0" applyFont="1" applyFill="1" applyAlignment="1" applyProtection="1">
      <alignment horizontal="right"/>
      <protection hidden="1"/>
    </xf>
    <xf numFmtId="3" fontId="1" fillId="0" borderId="0" xfId="0" applyNumberFormat="1" applyFont="1" applyFill="1" applyAlignment="1" applyProtection="1">
      <alignment horizontal="right"/>
      <protection hidden="1"/>
    </xf>
    <xf numFmtId="3" fontId="1" fillId="5" borderId="0" xfId="0" applyNumberFormat="1" applyFont="1" applyFill="1"/>
    <xf numFmtId="3" fontId="1" fillId="5" borderId="0" xfId="0" applyNumberFormat="1" applyFont="1" applyFill="1" applyProtection="1">
      <protection hidden="1"/>
    </xf>
    <xf numFmtId="167" fontId="8" fillId="7" borderId="1" xfId="0" applyNumberFormat="1" applyFont="1" applyFill="1" applyBorder="1" applyProtection="1">
      <protection hidden="1"/>
    </xf>
    <xf numFmtId="167" fontId="8" fillId="7" borderId="0" xfId="0" applyNumberFormat="1" applyFont="1" applyFill="1" applyBorder="1" applyProtection="1">
      <protection hidden="1"/>
    </xf>
    <xf numFmtId="167" fontId="5" fillId="7" borderId="0" xfId="0" applyNumberFormat="1" applyFont="1" applyFill="1" applyBorder="1" applyProtection="1">
      <protection hidden="1"/>
    </xf>
    <xf numFmtId="167" fontId="5" fillId="7" borderId="10" xfId="0" applyNumberFormat="1" applyFont="1" applyFill="1" applyBorder="1" applyProtection="1">
      <protection hidden="1"/>
    </xf>
    <xf numFmtId="0" fontId="3" fillId="0" borderId="3" xfId="0" applyFont="1" applyFill="1" applyBorder="1" applyAlignment="1">
      <alignment horizontal="right"/>
    </xf>
    <xf numFmtId="167" fontId="1" fillId="0" borderId="0" xfId="0" applyNumberFormat="1" applyFont="1" applyFill="1"/>
    <xf numFmtId="4" fontId="1" fillId="0" borderId="0" xfId="0" applyNumberFormat="1" applyFont="1" applyFill="1" applyProtection="1">
      <protection hidden="1"/>
    </xf>
    <xf numFmtId="167" fontId="1" fillId="0" borderId="0" xfId="0" applyNumberFormat="1" applyFont="1" applyFill="1" applyAlignment="1" applyProtection="1">
      <alignment horizontal="right"/>
      <protection locked="0"/>
    </xf>
    <xf numFmtId="167" fontId="1" fillId="0" borderId="0" xfId="0" applyNumberFormat="1" applyFont="1" applyFill="1" applyProtection="1">
      <protection locked="0"/>
    </xf>
    <xf numFmtId="4" fontId="3" fillId="0" borderId="0" xfId="0" applyNumberFormat="1" applyFont="1" applyFill="1" applyAlignment="1" applyProtection="1">
      <alignment horizontal="center"/>
      <protection hidden="1"/>
    </xf>
    <xf numFmtId="167" fontId="1" fillId="3" borderId="12" xfId="0" applyNumberFormat="1" applyFont="1" applyFill="1" applyBorder="1" applyAlignment="1" applyProtection="1">
      <alignment horizontal="left"/>
      <protection hidden="1"/>
    </xf>
    <xf numFmtId="167" fontId="3" fillId="3" borderId="4" xfId="0" applyNumberFormat="1" applyFont="1" applyFill="1" applyBorder="1"/>
    <xf numFmtId="167" fontId="3" fillId="3" borderId="16" xfId="0" applyNumberFormat="1" applyFont="1" applyFill="1" applyBorder="1"/>
    <xf numFmtId="167" fontId="38" fillId="3" borderId="16" xfId="0" applyNumberFormat="1" applyFont="1" applyFill="1" applyBorder="1"/>
    <xf numFmtId="167" fontId="8" fillId="3" borderId="16" xfId="0" applyNumberFormat="1" applyFont="1" applyFill="1" applyBorder="1"/>
    <xf numFmtId="167" fontId="3" fillId="6" borderId="0" xfId="0" applyNumberFormat="1" applyFont="1" applyFill="1"/>
    <xf numFmtId="3" fontId="8" fillId="0" borderId="0" xfId="0" applyNumberFormat="1" applyFont="1" applyFill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169" fontId="3" fillId="3" borderId="0" xfId="0" applyNumberFormat="1" applyFont="1" applyFill="1" applyAlignment="1">
      <alignment horizontal="center"/>
    </xf>
    <xf numFmtId="167" fontId="3" fillId="3" borderId="0" xfId="0" applyNumberFormat="1" applyFont="1" applyFill="1" applyAlignment="1">
      <alignment vertical="top"/>
    </xf>
    <xf numFmtId="0" fontId="3" fillId="5" borderId="0" xfId="0" applyFont="1" applyFill="1" applyProtection="1">
      <protection hidden="1"/>
    </xf>
    <xf numFmtId="3" fontId="8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0" fontId="10" fillId="0" borderId="0" xfId="0" applyFont="1" applyFill="1" applyAlignment="1" applyProtection="1">
      <alignment horizontal="center"/>
      <protection hidden="1"/>
    </xf>
    <xf numFmtId="2" fontId="1" fillId="3" borderId="0" xfId="0" applyNumberFormat="1" applyFont="1" applyFill="1" applyBorder="1"/>
    <xf numFmtId="0" fontId="2" fillId="0" borderId="0" xfId="0" applyFont="1" applyFill="1"/>
    <xf numFmtId="167" fontId="8" fillId="6" borderId="6" xfId="0" applyNumberFormat="1" applyFont="1" applyFill="1" applyBorder="1" applyProtection="1">
      <protection hidden="1"/>
    </xf>
    <xf numFmtId="2" fontId="3" fillId="8" borderId="3" xfId="0" applyNumberFormat="1" applyFont="1" applyFill="1" applyBorder="1"/>
    <xf numFmtId="167" fontId="3" fillId="8" borderId="9" xfId="0" applyNumberFormat="1" applyFont="1" applyFill="1" applyBorder="1" applyProtection="1">
      <protection hidden="1"/>
    </xf>
    <xf numFmtId="167" fontId="3" fillId="8" borderId="3" xfId="0" applyNumberFormat="1" applyFont="1" applyFill="1" applyBorder="1" applyProtection="1">
      <protection hidden="1"/>
    </xf>
    <xf numFmtId="167" fontId="3" fillId="8" borderId="1" xfId="0" applyNumberFormat="1" applyFont="1" applyFill="1" applyBorder="1" applyProtection="1">
      <protection hidden="1"/>
    </xf>
    <xf numFmtId="167" fontId="3" fillId="8" borderId="2" xfId="0" applyNumberFormat="1" applyFont="1" applyFill="1" applyBorder="1" applyProtection="1">
      <protection hidden="1"/>
    </xf>
    <xf numFmtId="2" fontId="10" fillId="8" borderId="5" xfId="0" applyNumberFormat="1" applyFont="1" applyFill="1" applyBorder="1" applyAlignment="1">
      <alignment horizontal="center"/>
    </xf>
    <xf numFmtId="167" fontId="10" fillId="8" borderId="11" xfId="0" applyNumberFormat="1" applyFont="1" applyFill="1" applyBorder="1" applyProtection="1">
      <protection hidden="1"/>
    </xf>
    <xf numFmtId="167" fontId="10" fillId="8" borderId="5" xfId="0" applyNumberFormat="1" applyFont="1" applyFill="1" applyBorder="1" applyProtection="1">
      <protection hidden="1"/>
    </xf>
    <xf numFmtId="167" fontId="10" fillId="8" borderId="12" xfId="0" applyNumberFormat="1" applyFont="1" applyFill="1" applyBorder="1" applyProtection="1">
      <protection hidden="1"/>
    </xf>
    <xf numFmtId="167" fontId="10" fillId="8" borderId="13" xfId="0" applyNumberFormat="1" applyFont="1" applyFill="1" applyBorder="1" applyProtection="1">
      <protection hidden="1"/>
    </xf>
    <xf numFmtId="2" fontId="3" fillId="8" borderId="4" xfId="0" applyNumberFormat="1" applyFont="1" applyFill="1" applyBorder="1"/>
    <xf numFmtId="167" fontId="3" fillId="8" borderId="6" xfId="0" applyNumberFormat="1" applyFont="1" applyFill="1" applyBorder="1" applyProtection="1">
      <protection hidden="1"/>
    </xf>
    <xf numFmtId="167" fontId="3" fillId="8" borderId="4" xfId="0" applyNumberFormat="1" applyFont="1" applyFill="1" applyBorder="1" applyProtection="1">
      <protection hidden="1"/>
    </xf>
    <xf numFmtId="167" fontId="3" fillId="8" borderId="0" xfId="0" applyNumberFormat="1" applyFont="1" applyFill="1" applyBorder="1" applyProtection="1">
      <protection hidden="1"/>
    </xf>
    <xf numFmtId="167" fontId="3" fillId="8" borderId="10" xfId="0" applyNumberFormat="1" applyFont="1" applyFill="1" applyBorder="1" applyProtection="1">
      <protection hidden="1"/>
    </xf>
    <xf numFmtId="2" fontId="3" fillId="8" borderId="3" xfId="0" applyNumberFormat="1" applyFont="1" applyFill="1" applyBorder="1" applyAlignment="1">
      <alignment horizontal="left"/>
    </xf>
    <xf numFmtId="3" fontId="3" fillId="8" borderId="1" xfId="0" applyNumberFormat="1" applyFont="1" applyFill="1" applyBorder="1" applyProtection="1">
      <protection hidden="1"/>
    </xf>
    <xf numFmtId="3" fontId="3" fillId="8" borderId="2" xfId="0" applyNumberFormat="1" applyFont="1" applyFill="1" applyBorder="1" applyProtection="1">
      <protection hidden="1"/>
    </xf>
    <xf numFmtId="3" fontId="10" fillId="8" borderId="11" xfId="0" applyNumberFormat="1" applyFont="1" applyFill="1" applyBorder="1" applyProtection="1">
      <protection hidden="1"/>
    </xf>
    <xf numFmtId="3" fontId="10" fillId="8" borderId="12" xfId="0" applyNumberFormat="1" applyFont="1" applyFill="1" applyBorder="1" applyProtection="1">
      <protection hidden="1"/>
    </xf>
    <xf numFmtId="3" fontId="10" fillId="8" borderId="13" xfId="0" applyNumberFormat="1" applyFont="1" applyFill="1" applyBorder="1" applyProtection="1">
      <protection hidden="1"/>
    </xf>
    <xf numFmtId="168" fontId="3" fillId="9" borderId="4" xfId="0" applyNumberFormat="1" applyFont="1" applyFill="1" applyBorder="1" applyProtection="1">
      <protection locked="0"/>
    </xf>
    <xf numFmtId="168" fontId="3" fillId="9" borderId="0" xfId="0" applyNumberFormat="1" applyFont="1" applyFill="1" applyBorder="1" applyProtection="1">
      <protection locked="0"/>
    </xf>
    <xf numFmtId="168" fontId="3" fillId="9" borderId="10" xfId="0" applyNumberFormat="1" applyFont="1" applyFill="1" applyBorder="1" applyProtection="1">
      <protection locked="0"/>
    </xf>
    <xf numFmtId="3" fontId="18" fillId="9" borderId="9" xfId="0" applyNumberFormat="1" applyFont="1" applyFill="1" applyBorder="1"/>
    <xf numFmtId="3" fontId="5" fillId="9" borderId="1" xfId="0" applyNumberFormat="1" applyFont="1" applyFill="1" applyBorder="1"/>
    <xf numFmtId="3" fontId="5" fillId="9" borderId="2" xfId="0" applyNumberFormat="1" applyFont="1" applyFill="1" applyBorder="1"/>
    <xf numFmtId="168" fontId="21" fillId="9" borderId="1" xfId="0" applyNumberFormat="1" applyFont="1" applyFill="1" applyBorder="1" applyProtection="1">
      <protection locked="0"/>
    </xf>
    <xf numFmtId="168" fontId="21" fillId="9" borderId="0" xfId="0" applyNumberFormat="1" applyFont="1" applyFill="1" applyBorder="1" applyProtection="1">
      <protection locked="0"/>
    </xf>
    <xf numFmtId="168" fontId="21" fillId="9" borderId="10" xfId="0" applyNumberFormat="1" applyFont="1" applyFill="1" applyBorder="1" applyProtection="1">
      <protection locked="0"/>
    </xf>
    <xf numFmtId="168" fontId="21" fillId="9" borderId="12" xfId="0" applyNumberFormat="1" applyFont="1" applyFill="1" applyBorder="1" applyProtection="1">
      <protection locked="0"/>
    </xf>
    <xf numFmtId="168" fontId="21" fillId="9" borderId="13" xfId="0" applyNumberFormat="1" applyFont="1" applyFill="1" applyBorder="1" applyProtection="1">
      <protection locked="0"/>
    </xf>
    <xf numFmtId="3" fontId="10" fillId="9" borderId="3" xfId="0" applyNumberFormat="1" applyFont="1" applyFill="1" applyBorder="1"/>
    <xf numFmtId="168" fontId="21" fillId="9" borderId="4" xfId="0" applyNumberFormat="1" applyFont="1" applyFill="1" applyBorder="1" applyProtection="1">
      <protection locked="0"/>
    </xf>
    <xf numFmtId="168" fontId="21" fillId="9" borderId="5" xfId="0" applyNumberFormat="1" applyFont="1" applyFill="1" applyBorder="1" applyProtection="1">
      <protection locked="0"/>
    </xf>
    <xf numFmtId="168" fontId="3" fillId="6" borderId="5" xfId="0" applyNumberFormat="1" applyFont="1" applyFill="1" applyBorder="1" applyProtection="1">
      <protection locked="0"/>
    </xf>
    <xf numFmtId="168" fontId="3" fillId="6" borderId="12" xfId="0" applyNumberFormat="1" applyFont="1" applyFill="1" applyBorder="1" applyProtection="1">
      <protection locked="0"/>
    </xf>
    <xf numFmtId="168" fontId="3" fillId="9" borderId="10" xfId="0" applyNumberFormat="1" applyFont="1" applyFill="1" applyBorder="1" applyAlignment="1" applyProtection="1">
      <alignment horizontal="right"/>
      <protection locked="0"/>
    </xf>
    <xf numFmtId="168" fontId="3" fillId="9" borderId="3" xfId="0" applyNumberFormat="1" applyFont="1" applyFill="1" applyBorder="1" applyProtection="1">
      <protection locked="0"/>
    </xf>
    <xf numFmtId="168" fontId="3" fillId="9" borderId="1" xfId="0" applyNumberFormat="1" applyFont="1" applyFill="1" applyBorder="1" applyProtection="1">
      <protection locked="0"/>
    </xf>
    <xf numFmtId="168" fontId="3" fillId="9" borderId="2" xfId="0" applyNumberFormat="1" applyFont="1" applyFill="1" applyBorder="1" applyAlignment="1" applyProtection="1">
      <alignment horizontal="right"/>
      <protection locked="0"/>
    </xf>
    <xf numFmtId="168" fontId="3" fillId="6" borderId="13" xfId="0" applyNumberFormat="1" applyFont="1" applyFill="1" applyBorder="1" applyProtection="1">
      <protection locked="0"/>
    </xf>
    <xf numFmtId="168" fontId="21" fillId="9" borderId="3" xfId="0" applyNumberFormat="1" applyFont="1" applyFill="1" applyBorder="1" applyProtection="1">
      <protection locked="0"/>
    </xf>
    <xf numFmtId="168" fontId="21" fillId="9" borderId="2" xfId="0" applyNumberFormat="1" applyFont="1" applyFill="1" applyBorder="1" applyProtection="1">
      <protection locked="0"/>
    </xf>
    <xf numFmtId="167" fontId="1" fillId="7" borderId="3" xfId="0" applyNumberFormat="1" applyFont="1" applyFill="1" applyBorder="1" applyProtection="1">
      <protection hidden="1"/>
    </xf>
    <xf numFmtId="167" fontId="1" fillId="7" borderId="1" xfId="0" applyNumberFormat="1" applyFont="1" applyFill="1" applyBorder="1" applyProtection="1">
      <protection hidden="1"/>
    </xf>
    <xf numFmtId="167" fontId="1" fillId="7" borderId="2" xfId="0" applyNumberFormat="1" applyFont="1" applyFill="1" applyBorder="1" applyProtection="1">
      <protection hidden="1"/>
    </xf>
    <xf numFmtId="167" fontId="1" fillId="7" borderId="4" xfId="0" applyNumberFormat="1" applyFont="1" applyFill="1" applyBorder="1" applyProtection="1">
      <protection hidden="1"/>
    </xf>
    <xf numFmtId="167" fontId="1" fillId="7" borderId="0" xfId="0" applyNumberFormat="1" applyFont="1" applyFill="1" applyBorder="1" applyProtection="1">
      <protection hidden="1"/>
    </xf>
    <xf numFmtId="167" fontId="1" fillId="7" borderId="10" xfId="0" applyNumberFormat="1" applyFont="1" applyFill="1" applyBorder="1" applyProtection="1">
      <protection hidden="1"/>
    </xf>
    <xf numFmtId="2" fontId="3" fillId="8" borderId="5" xfId="0" applyNumberFormat="1" applyFont="1" applyFill="1" applyBorder="1"/>
    <xf numFmtId="167" fontId="3" fillId="8" borderId="11" xfId="0" applyNumberFormat="1" applyFont="1" applyFill="1" applyBorder="1" applyProtection="1">
      <protection hidden="1"/>
    </xf>
    <xf numFmtId="167" fontId="3" fillId="8" borderId="5" xfId="0" applyNumberFormat="1" applyFont="1" applyFill="1" applyBorder="1" applyProtection="1">
      <protection hidden="1"/>
    </xf>
    <xf numFmtId="167" fontId="3" fillId="8" borderId="12" xfId="0" applyNumberFormat="1" applyFont="1" applyFill="1" applyBorder="1" applyProtection="1">
      <protection hidden="1"/>
    </xf>
    <xf numFmtId="167" fontId="3" fillId="8" borderId="13" xfId="0" applyNumberFormat="1" applyFont="1" applyFill="1" applyBorder="1" applyProtection="1">
      <protection hidden="1"/>
    </xf>
    <xf numFmtId="167" fontId="1" fillId="3" borderId="9" xfId="0" applyNumberFormat="1" applyFont="1" applyFill="1" applyBorder="1" applyProtection="1">
      <protection hidden="1"/>
    </xf>
    <xf numFmtId="167" fontId="1" fillId="3" borderId="6" xfId="0" applyNumberFormat="1" applyFont="1" applyFill="1" applyBorder="1" applyProtection="1">
      <protection hidden="1"/>
    </xf>
    <xf numFmtId="167" fontId="5" fillId="6" borderId="12" xfId="0" applyNumberFormat="1" applyFont="1" applyFill="1" applyBorder="1"/>
    <xf numFmtId="167" fontId="5" fillId="6" borderId="13" xfId="0" applyNumberFormat="1" applyFont="1" applyFill="1" applyBorder="1"/>
    <xf numFmtId="167" fontId="5" fillId="3" borderId="5" xfId="0" applyNumberFormat="1" applyFont="1" applyFill="1" applyBorder="1" applyProtection="1">
      <protection hidden="1"/>
    </xf>
    <xf numFmtId="168" fontId="3" fillId="6" borderId="15" xfId="0" applyNumberFormat="1" applyFont="1" applyFill="1" applyBorder="1" applyProtection="1"/>
    <xf numFmtId="168" fontId="3" fillId="6" borderId="7" xfId="0" applyNumberFormat="1" applyFont="1" applyFill="1" applyBorder="1" applyProtection="1"/>
    <xf numFmtId="168" fontId="3" fillId="6" borderId="8" xfId="0" applyNumberFormat="1" applyFont="1" applyFill="1" applyBorder="1" applyProtection="1"/>
    <xf numFmtId="167" fontId="3" fillId="5" borderId="0" xfId="0" applyNumberFormat="1" applyFont="1" applyFill="1"/>
    <xf numFmtId="167" fontId="38" fillId="5" borderId="0" xfId="0" applyNumberFormat="1" applyFont="1" applyFill="1"/>
    <xf numFmtId="167" fontId="8" fillId="5" borderId="0" xfId="0" applyNumberFormat="1" applyFont="1" applyFill="1"/>
    <xf numFmtId="2" fontId="3" fillId="5" borderId="4" xfId="0" applyNumberFormat="1" applyFont="1" applyFill="1" applyBorder="1"/>
    <xf numFmtId="2" fontId="3" fillId="5" borderId="4" xfId="0" applyNumberFormat="1" applyFont="1" applyFill="1" applyBorder="1" applyAlignment="1">
      <alignment horizontal="center"/>
    </xf>
    <xf numFmtId="2" fontId="3" fillId="6" borderId="5" xfId="0" applyNumberFormat="1" applyFont="1" applyFill="1" applyBorder="1"/>
    <xf numFmtId="167" fontId="3" fillId="3" borderId="0" xfId="0" applyNumberFormat="1" applyFont="1" applyFill="1" applyBorder="1"/>
    <xf numFmtId="167" fontId="8" fillId="7" borderId="3" xfId="0" applyNumberFormat="1" applyFont="1" applyFill="1" applyBorder="1" applyProtection="1">
      <protection hidden="1"/>
    </xf>
    <xf numFmtId="167" fontId="8" fillId="7" borderId="2" xfId="0" applyNumberFormat="1" applyFont="1" applyFill="1" applyBorder="1" applyProtection="1">
      <protection hidden="1"/>
    </xf>
    <xf numFmtId="167" fontId="8" fillId="7" borderId="4" xfId="0" applyNumberFormat="1" applyFont="1" applyFill="1" applyBorder="1" applyProtection="1">
      <protection hidden="1"/>
    </xf>
    <xf numFmtId="167" fontId="8" fillId="7" borderId="10" xfId="0" applyNumberFormat="1" applyFont="1" applyFill="1" applyBorder="1" applyProtection="1">
      <protection hidden="1"/>
    </xf>
    <xf numFmtId="167" fontId="3" fillId="6" borderId="0" xfId="0" applyNumberFormat="1" applyFont="1" applyFill="1" applyBorder="1"/>
    <xf numFmtId="3" fontId="5" fillId="5" borderId="0" xfId="0" applyNumberFormat="1" applyFont="1" applyFill="1"/>
    <xf numFmtId="167" fontId="5" fillId="5" borderId="0" xfId="0" applyNumberFormat="1" applyFont="1" applyFill="1"/>
    <xf numFmtId="4" fontId="3" fillId="3" borderId="7" xfId="0" applyNumberFormat="1" applyFont="1" applyFill="1" applyBorder="1" applyProtection="1">
      <protection hidden="1"/>
    </xf>
    <xf numFmtId="4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3" fontId="1" fillId="3" borderId="0" xfId="0" applyNumberFormat="1" applyFont="1" applyFill="1" applyBorder="1" applyProtection="1">
      <protection hidden="1"/>
    </xf>
    <xf numFmtId="167" fontId="8" fillId="7" borderId="5" xfId="0" applyNumberFormat="1" applyFont="1" applyFill="1" applyBorder="1" applyProtection="1">
      <protection hidden="1"/>
    </xf>
    <xf numFmtId="167" fontId="8" fillId="7" borderId="12" xfId="0" applyNumberFormat="1" applyFont="1" applyFill="1" applyBorder="1" applyProtection="1">
      <protection hidden="1"/>
    </xf>
    <xf numFmtId="167" fontId="8" fillId="7" borderId="13" xfId="0" applyNumberFormat="1" applyFont="1" applyFill="1" applyBorder="1" applyProtection="1">
      <protection hidden="1"/>
    </xf>
    <xf numFmtId="0" fontId="3" fillId="0" borderId="12" xfId="0" applyFont="1" applyBorder="1" applyAlignment="1">
      <alignment horizontal="left"/>
    </xf>
    <xf numFmtId="0" fontId="3" fillId="0" borderId="12" xfId="0" applyFont="1" applyBorder="1"/>
    <xf numFmtId="2" fontId="1" fillId="3" borderId="0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/>
    </xf>
    <xf numFmtId="2" fontId="3" fillId="5" borderId="0" xfId="0" applyNumberFormat="1" applyFont="1" applyFill="1" applyBorder="1" applyProtection="1">
      <protection hidden="1"/>
    </xf>
    <xf numFmtId="0" fontId="3" fillId="5" borderId="4" xfId="0" applyFont="1" applyFill="1" applyBorder="1"/>
    <xf numFmtId="0" fontId="40" fillId="0" borderId="0" xfId="0" applyFont="1" applyFill="1" applyProtection="1">
      <protection hidden="1"/>
    </xf>
    <xf numFmtId="2" fontId="40" fillId="0" borderId="0" xfId="0" applyNumberFormat="1" applyFont="1" applyFill="1" applyBorder="1" applyAlignment="1" applyProtection="1">
      <alignment horizontal="center"/>
      <protection hidden="1"/>
    </xf>
    <xf numFmtId="2" fontId="40" fillId="0" borderId="0" xfId="0" applyNumberFormat="1" applyFont="1" applyFill="1" applyBorder="1" applyProtection="1">
      <protection hidden="1"/>
    </xf>
    <xf numFmtId="2" fontId="42" fillId="0" borderId="5" xfId="0" applyNumberFormat="1" applyFont="1" applyFill="1" applyBorder="1" applyAlignment="1" applyProtection="1">
      <alignment horizontal="center"/>
      <protection hidden="1"/>
    </xf>
    <xf numFmtId="1" fontId="40" fillId="0" borderId="0" xfId="0" applyNumberFormat="1" applyFont="1" applyFill="1" applyProtection="1">
      <protection hidden="1"/>
    </xf>
    <xf numFmtId="167" fontId="40" fillId="0" borderId="0" xfId="0" applyNumberFormat="1" applyFont="1" applyFill="1" applyProtection="1">
      <protection hidden="1"/>
    </xf>
    <xf numFmtId="1" fontId="41" fillId="0" borderId="0" xfId="0" applyNumberFormat="1" applyFont="1" applyFill="1" applyProtection="1">
      <protection hidden="1"/>
    </xf>
    <xf numFmtId="3" fontId="40" fillId="0" borderId="0" xfId="0" applyNumberFormat="1" applyFont="1" applyFill="1" applyProtection="1">
      <protection hidden="1"/>
    </xf>
    <xf numFmtId="167" fontId="40" fillId="0" borderId="0" xfId="0" applyNumberFormat="1" applyFont="1" applyFill="1" applyProtection="1">
      <protection locked="0"/>
    </xf>
    <xf numFmtId="167" fontId="40" fillId="0" borderId="0" xfId="0" applyNumberFormat="1" applyFont="1" applyFill="1" applyAlignment="1" applyProtection="1">
      <alignment horizontal="right"/>
      <protection locked="0"/>
    </xf>
    <xf numFmtId="3" fontId="40" fillId="0" borderId="0" xfId="0" applyNumberFormat="1" applyFont="1" applyFill="1" applyAlignment="1" applyProtection="1">
      <alignment horizontal="right"/>
      <protection locked="0"/>
    </xf>
    <xf numFmtId="167" fontId="8" fillId="6" borderId="4" xfId="0" applyNumberFormat="1" applyFont="1" applyFill="1" applyBorder="1" applyProtection="1">
      <protection locked="0"/>
    </xf>
    <xf numFmtId="0" fontId="4" fillId="3" borderId="5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 applyFill="1" applyProtection="1"/>
    <xf numFmtId="2" fontId="1" fillId="0" borderId="0" xfId="0" applyNumberFormat="1" applyFont="1" applyFill="1" applyBorder="1" applyAlignment="1" applyProtection="1">
      <alignment horizontal="center"/>
      <protection hidden="1"/>
    </xf>
    <xf numFmtId="2" fontId="1" fillId="0" borderId="0" xfId="0" applyNumberFormat="1" applyFont="1" applyFill="1" applyBorder="1" applyProtection="1">
      <protection hidden="1"/>
    </xf>
    <xf numFmtId="167" fontId="12" fillId="0" borderId="0" xfId="0" applyNumberFormat="1" applyFont="1" applyFill="1" applyAlignment="1" applyProtection="1">
      <alignment horizontal="right"/>
      <protection locked="0"/>
    </xf>
    <xf numFmtId="167" fontId="1" fillId="0" borderId="0" xfId="0" applyNumberFormat="1" applyFont="1" applyFill="1" applyBorder="1" applyProtection="1">
      <protection hidden="1"/>
    </xf>
    <xf numFmtId="167" fontId="3" fillId="0" borderId="3" xfId="0" applyNumberFormat="1" applyFont="1" applyFill="1" applyBorder="1" applyProtection="1">
      <protection hidden="1"/>
    </xf>
    <xf numFmtId="167" fontId="1" fillId="0" borderId="0" xfId="0" applyNumberFormat="1" applyFont="1" applyFill="1" applyBorder="1"/>
    <xf numFmtId="1" fontId="1" fillId="0" borderId="0" xfId="0" applyNumberFormat="1" applyFont="1" applyFill="1" applyAlignment="1" applyProtection="1">
      <alignment horizontal="right"/>
      <protection locked="0"/>
    </xf>
    <xf numFmtId="2" fontId="1" fillId="0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Protection="1">
      <protection hidden="1"/>
    </xf>
    <xf numFmtId="1" fontId="3" fillId="0" borderId="3" xfId="0" applyNumberFormat="1" applyFont="1" applyFill="1" applyBorder="1" applyAlignment="1" applyProtection="1">
      <alignment horizontal="right"/>
      <protection hidden="1"/>
    </xf>
    <xf numFmtId="0" fontId="1" fillId="6" borderId="0" xfId="0" applyFont="1" applyFill="1" applyProtection="1">
      <protection hidden="1"/>
    </xf>
    <xf numFmtId="2" fontId="3" fillId="6" borderId="0" xfId="0" applyNumberFormat="1" applyFont="1" applyFill="1" applyBorder="1" applyProtection="1">
      <protection hidden="1"/>
    </xf>
    <xf numFmtId="0" fontId="3" fillId="6" borderId="4" xfId="0" applyFont="1" applyFill="1" applyBorder="1"/>
    <xf numFmtId="167" fontId="1" fillId="6" borderId="0" xfId="0" applyNumberFormat="1" applyFont="1" applyFill="1" applyProtection="1">
      <protection hidden="1"/>
    </xf>
    <xf numFmtId="167" fontId="1" fillId="6" borderId="0" xfId="0" applyNumberFormat="1" applyFont="1" applyFill="1" applyAlignment="1" applyProtection="1">
      <alignment horizontal="right"/>
      <protection locked="0"/>
    </xf>
    <xf numFmtId="0" fontId="43" fillId="0" borderId="0" xfId="0" applyFont="1" applyFill="1" applyAlignment="1" applyProtection="1">
      <alignment horizontal="center"/>
      <protection hidden="1"/>
    </xf>
    <xf numFmtId="2" fontId="43" fillId="0" borderId="0" xfId="0" applyNumberFormat="1" applyFont="1" applyFill="1" applyAlignment="1" applyProtection="1">
      <alignment horizontal="center"/>
      <protection hidden="1"/>
    </xf>
    <xf numFmtId="167" fontId="1" fillId="0" borderId="0" xfId="0" applyNumberFormat="1" applyFont="1"/>
    <xf numFmtId="168" fontId="3" fillId="0" borderId="0" xfId="0" applyNumberFormat="1" applyFont="1" applyFill="1" applyProtection="1">
      <protection hidden="1"/>
    </xf>
    <xf numFmtId="167" fontId="1" fillId="6" borderId="0" xfId="0" applyNumberFormat="1" applyFont="1" applyFill="1"/>
    <xf numFmtId="167" fontId="3" fillId="6" borderId="3" xfId="0" applyNumberFormat="1" applyFont="1" applyFill="1" applyBorder="1" applyProtection="1">
      <protection hidden="1"/>
    </xf>
    <xf numFmtId="167" fontId="3" fillId="6" borderId="1" xfId="0" applyNumberFormat="1" applyFont="1" applyFill="1" applyBorder="1" applyProtection="1">
      <protection hidden="1"/>
    </xf>
    <xf numFmtId="167" fontId="21" fillId="3" borderId="1" xfId="0" applyNumberFormat="1" applyFont="1" applyFill="1" applyBorder="1" applyProtection="1">
      <protection hidden="1"/>
    </xf>
    <xf numFmtId="167" fontId="21" fillId="3" borderId="2" xfId="0" applyNumberFormat="1" applyFont="1" applyFill="1" applyBorder="1" applyProtection="1">
      <protection hidden="1"/>
    </xf>
    <xf numFmtId="0" fontId="10" fillId="0" borderId="0" xfId="0" applyFont="1" applyFill="1"/>
    <xf numFmtId="167" fontId="10" fillId="0" borderId="0" xfId="0" applyNumberFormat="1" applyFont="1" applyFill="1"/>
    <xf numFmtId="3" fontId="10" fillId="8" borderId="9" xfId="0" applyNumberFormat="1" applyFont="1" applyFill="1" applyBorder="1" applyProtection="1">
      <protection hidden="1"/>
    </xf>
    <xf numFmtId="3" fontId="8" fillId="8" borderId="9" xfId="0" applyNumberFormat="1" applyFont="1" applyFill="1" applyBorder="1" applyProtection="1">
      <protection hidden="1"/>
    </xf>
    <xf numFmtId="167" fontId="5" fillId="8" borderId="1" xfId="0" applyNumberFormat="1" applyFont="1" applyFill="1" applyBorder="1"/>
    <xf numFmtId="0" fontId="5" fillId="8" borderId="1" xfId="0" applyFont="1" applyFill="1" applyBorder="1"/>
    <xf numFmtId="0" fontId="5" fillId="8" borderId="2" xfId="0" applyFont="1" applyFill="1" applyBorder="1"/>
    <xf numFmtId="0" fontId="10" fillId="8" borderId="5" xfId="0" applyFont="1" applyFill="1" applyBorder="1" applyAlignment="1">
      <alignment horizontal="left"/>
    </xf>
    <xf numFmtId="0" fontId="13" fillId="8" borderId="3" xfId="0" applyFont="1" applyFill="1" applyBorder="1" applyAlignment="1">
      <alignment horizontal="left"/>
    </xf>
    <xf numFmtId="167" fontId="10" fillId="8" borderId="9" xfId="0" applyNumberFormat="1" applyFont="1" applyFill="1" applyBorder="1" applyProtection="1">
      <protection hidden="1"/>
    </xf>
    <xf numFmtId="167" fontId="10" fillId="8" borderId="6" xfId="0" applyNumberFormat="1" applyFont="1" applyFill="1" applyBorder="1" applyProtection="1">
      <protection hidden="1"/>
    </xf>
    <xf numFmtId="167" fontId="5" fillId="8" borderId="4" xfId="0" applyNumberFormat="1" applyFont="1" applyFill="1" applyBorder="1"/>
    <xf numFmtId="0" fontId="5" fillId="8" borderId="0" xfId="0" applyFont="1" applyFill="1" applyBorder="1"/>
    <xf numFmtId="0" fontId="5" fillId="8" borderId="10" xfId="0" applyFont="1" applyFill="1" applyBorder="1"/>
    <xf numFmtId="0" fontId="1" fillId="8" borderId="5" xfId="0" applyFont="1" applyFill="1" applyBorder="1" applyAlignment="1">
      <alignment horizontal="left"/>
    </xf>
    <xf numFmtId="167" fontId="8" fillId="2" borderId="5" xfId="0" applyNumberFormat="1" applyFont="1" applyFill="1" applyBorder="1" applyProtection="1">
      <protection locked="0"/>
    </xf>
    <xf numFmtId="167" fontId="43" fillId="3" borderId="0" xfId="0" applyNumberFormat="1" applyFont="1" applyFill="1"/>
    <xf numFmtId="0" fontId="12" fillId="6" borderId="0" xfId="0" applyFont="1" applyFill="1" applyProtection="1">
      <protection hidden="1"/>
    </xf>
    <xf numFmtId="14" fontId="1" fillId="6" borderId="0" xfId="0" applyNumberFormat="1" applyFont="1" applyFill="1" applyProtection="1">
      <protection hidden="1"/>
    </xf>
    <xf numFmtId="0" fontId="0" fillId="6" borderId="0" xfId="0" applyFill="1"/>
    <xf numFmtId="0" fontId="9" fillId="6" borderId="0" xfId="0" applyFont="1" applyFill="1" applyProtection="1">
      <protection hidden="1"/>
    </xf>
    <xf numFmtId="0" fontId="39" fillId="6" borderId="0" xfId="0" applyFont="1" applyFill="1" applyProtection="1">
      <protection hidden="1"/>
    </xf>
    <xf numFmtId="0" fontId="12" fillId="6" borderId="0" xfId="0" applyFont="1" applyFill="1"/>
    <xf numFmtId="0" fontId="22" fillId="6" borderId="0" xfId="0" applyFont="1" applyFill="1" applyProtection="1">
      <protection hidden="1"/>
    </xf>
    <xf numFmtId="0" fontId="35" fillId="6" borderId="0" xfId="0" applyFont="1" applyFill="1" applyProtection="1">
      <protection hidden="1"/>
    </xf>
    <xf numFmtId="0" fontId="36" fillId="6" borderId="0" xfId="0" applyFont="1" applyFill="1" applyProtection="1">
      <protection hidden="1"/>
    </xf>
    <xf numFmtId="0" fontId="2" fillId="6" borderId="0" xfId="0" applyFont="1" applyFill="1" applyProtection="1">
      <protection hidden="1"/>
    </xf>
    <xf numFmtId="0" fontId="24" fillId="6" borderId="0" xfId="0" applyFont="1" applyFill="1" applyProtection="1">
      <protection hidden="1"/>
    </xf>
    <xf numFmtId="0" fontId="12" fillId="6" borderId="0" xfId="0" applyFont="1" applyFill="1" applyBorder="1" applyProtection="1">
      <protection hidden="1"/>
    </xf>
    <xf numFmtId="0" fontId="26" fillId="6" borderId="0" xfId="0" applyFont="1" applyFill="1" applyProtection="1">
      <protection hidden="1"/>
    </xf>
    <xf numFmtId="0" fontId="26" fillId="6" borderId="0" xfId="0" applyFont="1" applyFill="1"/>
    <xf numFmtId="0" fontId="33" fillId="6" borderId="0" xfId="0" applyFont="1" applyFill="1"/>
    <xf numFmtId="3" fontId="37" fillId="3" borderId="0" xfId="0" applyNumberFormat="1" applyFont="1" applyFill="1" applyProtection="1">
      <protection hidden="1"/>
    </xf>
    <xf numFmtId="3" fontId="37" fillId="3" borderId="0" xfId="0" applyNumberFormat="1" applyFont="1" applyFill="1" applyBorder="1" applyAlignment="1" applyProtection="1">
      <alignment horizontal="right"/>
      <protection hidden="1"/>
    </xf>
    <xf numFmtId="0" fontId="37" fillId="3" borderId="0" xfId="0" applyFont="1" applyFill="1"/>
    <xf numFmtId="3" fontId="38" fillId="3" borderId="0" xfId="0" applyNumberFormat="1" applyFont="1" applyFill="1" applyBorder="1" applyAlignment="1" applyProtection="1">
      <alignment horizontal="right"/>
      <protection hidden="1"/>
    </xf>
    <xf numFmtId="167" fontId="37" fillId="3" borderId="0" xfId="0" applyNumberFormat="1" applyFont="1" applyFill="1"/>
    <xf numFmtId="2" fontId="1" fillId="3" borderId="4" xfId="0" applyNumberFormat="1" applyFont="1" applyFill="1" applyBorder="1"/>
    <xf numFmtId="0" fontId="3" fillId="6" borderId="0" xfId="0" applyFont="1" applyFill="1" applyProtection="1">
      <protection hidden="1"/>
    </xf>
    <xf numFmtId="0" fontId="1" fillId="6" borderId="0" xfId="0" applyFont="1" applyFill="1" applyAlignment="1" applyProtection="1">
      <alignment horizontal="left"/>
      <protection hidden="1"/>
    </xf>
    <xf numFmtId="0" fontId="1" fillId="6" borderId="0" xfId="0" applyFont="1" applyFill="1"/>
    <xf numFmtId="167" fontId="1" fillId="3" borderId="4" xfId="0" applyNumberFormat="1" applyFont="1" applyFill="1" applyBorder="1" applyProtection="1">
      <protection hidden="1"/>
    </xf>
    <xf numFmtId="3" fontId="15" fillId="3" borderId="0" xfId="0" applyNumberFormat="1" applyFont="1" applyFill="1" applyBorder="1"/>
    <xf numFmtId="3" fontId="3" fillId="0" borderId="0" xfId="0" applyNumberFormat="1" applyFont="1" applyFill="1"/>
    <xf numFmtId="3" fontId="10" fillId="3" borderId="0" xfId="0" applyNumberFormat="1" applyFont="1" applyFill="1"/>
    <xf numFmtId="3" fontId="0" fillId="5" borderId="0" xfId="0" applyNumberFormat="1" applyFill="1"/>
    <xf numFmtId="3" fontId="20" fillId="3" borderId="0" xfId="0" applyNumberFormat="1" applyFont="1" applyFill="1"/>
    <xf numFmtId="3" fontId="6" fillId="3" borderId="0" xfId="0" applyNumberFormat="1" applyFont="1" applyFill="1"/>
    <xf numFmtId="167" fontId="1" fillId="3" borderId="10" xfId="0" applyNumberFormat="1" applyFont="1" applyFill="1" applyBorder="1" applyProtection="1">
      <protection hidden="1"/>
    </xf>
    <xf numFmtId="0" fontId="1" fillId="8" borderId="4" xfId="0" applyFont="1" applyFill="1" applyBorder="1" applyAlignment="1">
      <alignment horizontal="left"/>
    </xf>
    <xf numFmtId="0" fontId="32" fillId="10" borderId="3" xfId="0" applyFont="1" applyFill="1" applyBorder="1" applyProtection="1">
      <protection hidden="1"/>
    </xf>
    <xf numFmtId="0" fontId="12" fillId="10" borderId="1" xfId="0" applyFont="1" applyFill="1" applyBorder="1" applyProtection="1">
      <protection hidden="1"/>
    </xf>
    <xf numFmtId="0" fontId="12" fillId="10" borderId="2" xfId="0" applyFont="1" applyFill="1" applyBorder="1" applyProtection="1">
      <protection hidden="1"/>
    </xf>
    <xf numFmtId="0" fontId="12" fillId="10" borderId="4" xfId="0" applyFont="1" applyFill="1" applyBorder="1" applyProtection="1">
      <protection hidden="1"/>
    </xf>
    <xf numFmtId="0" fontId="12" fillId="10" borderId="0" xfId="0" applyFont="1" applyFill="1" applyBorder="1" applyProtection="1">
      <protection hidden="1"/>
    </xf>
    <xf numFmtId="0" fontId="12" fillId="10" borderId="10" xfId="0" applyFont="1" applyFill="1" applyBorder="1" applyProtection="1">
      <protection hidden="1"/>
    </xf>
    <xf numFmtId="0" fontId="12" fillId="10" borderId="5" xfId="0" applyFont="1" applyFill="1" applyBorder="1" applyProtection="1">
      <protection hidden="1"/>
    </xf>
    <xf numFmtId="0" fontId="12" fillId="10" borderId="12" xfId="0" applyFont="1" applyFill="1" applyBorder="1" applyProtection="1">
      <protection hidden="1"/>
    </xf>
    <xf numFmtId="0" fontId="12" fillId="10" borderId="13" xfId="0" applyFont="1" applyFill="1" applyBorder="1" applyProtection="1">
      <protection hidden="1"/>
    </xf>
    <xf numFmtId="6" fontId="1" fillId="3" borderId="9" xfId="0" applyNumberFormat="1" applyFont="1" applyFill="1" applyBorder="1"/>
    <xf numFmtId="6" fontId="1" fillId="3" borderId="3" xfId="0" applyNumberFormat="1" applyFont="1" applyFill="1" applyBorder="1"/>
    <xf numFmtId="6" fontId="1" fillId="3" borderId="1" xfId="0" applyNumberFormat="1" applyFont="1" applyFill="1" applyBorder="1"/>
    <xf numFmtId="6" fontId="1" fillId="3" borderId="2" xfId="0" applyNumberFormat="1" applyFont="1" applyFill="1" applyBorder="1"/>
    <xf numFmtId="2" fontId="19" fillId="3" borderId="4" xfId="0" applyNumberFormat="1" applyFont="1" applyFill="1" applyBorder="1"/>
    <xf numFmtId="6" fontId="1" fillId="3" borderId="6" xfId="0" applyNumberFormat="1" applyFont="1" applyFill="1" applyBorder="1"/>
    <xf numFmtId="6" fontId="1" fillId="3" borderId="4" xfId="0" applyNumberFormat="1" applyFont="1" applyFill="1" applyBorder="1"/>
    <xf numFmtId="6" fontId="1" fillId="3" borderId="0" xfId="0" applyNumberFormat="1" applyFont="1" applyFill="1" applyBorder="1"/>
    <xf numFmtId="6" fontId="1" fillId="3" borderId="10" xfId="0" applyNumberFormat="1" applyFont="1" applyFill="1" applyBorder="1"/>
  </cellXfs>
  <cellStyles count="4">
    <cellStyle name="Euro" xfId="2"/>
    <cellStyle name="Normaali" xfId="0" builtinId="0"/>
    <cellStyle name="Normaali 2" xfId="3"/>
    <cellStyle name="Pilkku" xfId="1" builtinId="3"/>
  </cellStyles>
  <dxfs count="0"/>
  <tableStyles count="0" defaultTableStyle="TableStyleMedium9" defaultPivotStyle="PivotStyleLight16"/>
  <colors>
    <mruColors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/>
              <a:t>Vuosikate, poistot ja nettoinvestoinnit, €/asukas</a:t>
            </a:r>
          </a:p>
        </c:rich>
      </c:tx>
      <c:layout>
        <c:manualLayout>
          <c:xMode val="edge"/>
          <c:yMode val="edge"/>
          <c:x val="0.29124036907215517"/>
          <c:y val="3.1914935062405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71173042845471E-2"/>
          <c:y val="0.25797905842110713"/>
          <c:w val="0.92150273026735685"/>
          <c:h val="0.625000811638778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KEHIKKO!$A$87</c:f>
              <c:strCache>
                <c:ptCount val="1"/>
                <c:pt idx="0">
                  <c:v>Vuosikate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;[Red]\-#,##0\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KEHIKKO!$B$86:$L$86</c:f>
              <c:strCache>
                <c:ptCount val="11"/>
                <c:pt idx="0">
                  <c:v>TP 2022</c:v>
                </c:pt>
                <c:pt idx="1">
                  <c:v>TP 2023</c:v>
                </c:pt>
                <c:pt idx="2">
                  <c:v>2 024</c:v>
                </c:pt>
                <c:pt idx="3">
                  <c:v>2 025</c:v>
                </c:pt>
                <c:pt idx="4">
                  <c:v>2 026</c:v>
                </c:pt>
                <c:pt idx="5">
                  <c:v>2 027</c:v>
                </c:pt>
                <c:pt idx="6">
                  <c:v>2 028</c:v>
                </c:pt>
                <c:pt idx="7">
                  <c:v>2 029</c:v>
                </c:pt>
                <c:pt idx="8">
                  <c:v>2 030</c:v>
                </c:pt>
                <c:pt idx="9">
                  <c:v>2 031</c:v>
                </c:pt>
                <c:pt idx="10">
                  <c:v>2 032</c:v>
                </c:pt>
              </c:strCache>
            </c:strRef>
          </c:cat>
          <c:val>
            <c:numRef>
              <c:f>KEHIKKO!$B$87:$L$87</c:f>
              <c:numCache>
                <c:formatCode>#,##0</c:formatCode>
                <c:ptCount val="11"/>
                <c:pt idx="0">
                  <c:v>697.44661371237464</c:v>
                </c:pt>
                <c:pt idx="1">
                  <c:v>618.37020442930157</c:v>
                </c:pt>
                <c:pt idx="2">
                  <c:v>59.128108005624533</c:v>
                </c:pt>
                <c:pt idx="3">
                  <c:v>199.79506556113066</c:v>
                </c:pt>
                <c:pt idx="4">
                  <c:v>211.46795428904804</c:v>
                </c:pt>
                <c:pt idx="5">
                  <c:v>283.03066062075391</c:v>
                </c:pt>
                <c:pt idx="6">
                  <c:v>403.31438566404552</c:v>
                </c:pt>
                <c:pt idx="7">
                  <c:v>407.87968687776367</c:v>
                </c:pt>
                <c:pt idx="8">
                  <c:v>411.98350688991746</c:v>
                </c:pt>
                <c:pt idx="9">
                  <c:v>414.87697160403934</c:v>
                </c:pt>
                <c:pt idx="10">
                  <c:v>416.96347780024962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69984"/>
        <c:axId val="228176256"/>
      </c:barChart>
      <c:lineChart>
        <c:grouping val="standard"/>
        <c:varyColors val="0"/>
        <c:ser>
          <c:idx val="0"/>
          <c:order val="1"/>
          <c:tx>
            <c:strRef>
              <c:f>KEHIKKO!$A$88</c:f>
              <c:strCache>
                <c:ptCount val="1"/>
                <c:pt idx="0">
                  <c:v>Poistot ja arvonalent.</c:v>
                </c:pt>
              </c:strCache>
            </c:strRef>
          </c:tx>
          <c:spPr>
            <a:ln w="25400">
              <a:solidFill>
                <a:schemeClr val="tx1">
                  <a:lumMod val="95000"/>
                  <a:lumOff val="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KEHIKKO!$B$86:$L$86</c:f>
              <c:strCache>
                <c:ptCount val="11"/>
                <c:pt idx="0">
                  <c:v>TP 2022</c:v>
                </c:pt>
                <c:pt idx="1">
                  <c:v>TP 2023</c:v>
                </c:pt>
                <c:pt idx="2">
                  <c:v>2 024</c:v>
                </c:pt>
                <c:pt idx="3">
                  <c:v>2 025</c:v>
                </c:pt>
                <c:pt idx="4">
                  <c:v>2 026</c:v>
                </c:pt>
                <c:pt idx="5">
                  <c:v>2 027</c:v>
                </c:pt>
                <c:pt idx="6">
                  <c:v>2 028</c:v>
                </c:pt>
                <c:pt idx="7">
                  <c:v>2 029</c:v>
                </c:pt>
                <c:pt idx="8">
                  <c:v>2 030</c:v>
                </c:pt>
                <c:pt idx="9">
                  <c:v>2 031</c:v>
                </c:pt>
                <c:pt idx="10">
                  <c:v>2 032</c:v>
                </c:pt>
              </c:strCache>
            </c:strRef>
          </c:cat>
          <c:val>
            <c:numRef>
              <c:f>KEHIKKO!$B$88:$L$88</c:f>
              <c:numCache>
                <c:formatCode>#,##0</c:formatCode>
                <c:ptCount val="11"/>
                <c:pt idx="0">
                  <c:v>8.0937625418060204</c:v>
                </c:pt>
                <c:pt idx="1">
                  <c:v>438.33683986371375</c:v>
                </c:pt>
                <c:pt idx="2">
                  <c:v>445.28296159633305</c:v>
                </c:pt>
                <c:pt idx="3">
                  <c:v>452.83653176760254</c:v>
                </c:pt>
                <c:pt idx="4">
                  <c:v>459.85725319035606</c:v>
                </c:pt>
                <c:pt idx="5">
                  <c:v>467.0990996972908</c:v>
                </c:pt>
                <c:pt idx="6">
                  <c:v>474.99490298398877</c:v>
                </c:pt>
                <c:pt idx="7">
                  <c:v>483.16223615746912</c:v>
                </c:pt>
                <c:pt idx="8">
                  <c:v>491.61535078637507</c:v>
                </c:pt>
                <c:pt idx="9">
                  <c:v>499.7376850972243</c:v>
                </c:pt>
                <c:pt idx="10">
                  <c:v>507.99421439313988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69984"/>
        <c:axId val="228176256"/>
      </c:lineChart>
      <c:lineChart>
        <c:grouping val="standard"/>
        <c:varyColors val="0"/>
        <c:ser>
          <c:idx val="2"/>
          <c:order val="2"/>
          <c:tx>
            <c:strRef>
              <c:f>KEHIKKO!$A$89</c:f>
              <c:strCache>
                <c:ptCount val="1"/>
                <c:pt idx="0">
                  <c:v>Nettoinvestoinnit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C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KEHIKKO!$B$86:$L$86</c:f>
              <c:strCache>
                <c:ptCount val="11"/>
                <c:pt idx="0">
                  <c:v>TP 2022</c:v>
                </c:pt>
                <c:pt idx="1">
                  <c:v>TP 2023</c:v>
                </c:pt>
                <c:pt idx="2">
                  <c:v>2 024</c:v>
                </c:pt>
                <c:pt idx="3">
                  <c:v>2 025</c:v>
                </c:pt>
                <c:pt idx="4">
                  <c:v>2 026</c:v>
                </c:pt>
                <c:pt idx="5">
                  <c:v>2 027</c:v>
                </c:pt>
                <c:pt idx="6">
                  <c:v>2 028</c:v>
                </c:pt>
                <c:pt idx="7">
                  <c:v>2 029</c:v>
                </c:pt>
                <c:pt idx="8">
                  <c:v>2 030</c:v>
                </c:pt>
                <c:pt idx="9">
                  <c:v>2 031</c:v>
                </c:pt>
                <c:pt idx="10">
                  <c:v>2 032</c:v>
                </c:pt>
              </c:strCache>
            </c:strRef>
          </c:cat>
          <c:val>
            <c:numRef>
              <c:f>KEHIKKO!$B$89:$L$89</c:f>
              <c:numCache>
                <c:formatCode>#,##0</c:formatCode>
                <c:ptCount val="11"/>
                <c:pt idx="0">
                  <c:v>236.75021739130435</c:v>
                </c:pt>
                <c:pt idx="1">
                  <c:v>4.2589437819420786</c:v>
                </c:pt>
                <c:pt idx="2">
                  <c:v>124.66758594967698</c:v>
                </c:pt>
                <c:pt idx="3">
                  <c:v>65.591106480096769</c:v>
                </c:pt>
                <c:pt idx="4">
                  <c:v>97.678014682901306</c:v>
                </c:pt>
                <c:pt idx="5">
                  <c:v>83.436609618058867</c:v>
                </c:pt>
                <c:pt idx="6">
                  <c:v>92.870204555288964</c:v>
                </c:pt>
                <c:pt idx="7">
                  <c:v>90.386495345514035</c:v>
                </c:pt>
                <c:pt idx="8">
                  <c:v>94.043824713138974</c:v>
                </c:pt>
                <c:pt idx="9">
                  <c:v>94.542450729384413</c:v>
                </c:pt>
                <c:pt idx="10">
                  <c:v>96.640741763460412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77792"/>
        <c:axId val="228179328"/>
      </c:lineChart>
      <c:catAx>
        <c:axId val="22816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228176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17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;[Red]\-#,##0\ 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228169984"/>
        <c:crosses val="autoZero"/>
        <c:crossBetween val="between"/>
      </c:valAx>
      <c:catAx>
        <c:axId val="22817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8179328"/>
        <c:crosses val="autoZero"/>
        <c:auto val="0"/>
        <c:lblAlgn val="ctr"/>
        <c:lblOffset val="100"/>
        <c:noMultiLvlLbl val="0"/>
      </c:catAx>
      <c:valAx>
        <c:axId val="2281793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28177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8100144984696057"/>
          <c:y val="0.13829805193708974"/>
          <c:w val="0.48464217665913045"/>
          <c:h val="6.1170292202943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i-FI"/>
    </a:p>
  </c:txPr>
  <c:printSettings>
    <c:headerFooter alignWithMargins="0"/>
    <c:pageMargins b="1" l="0.75000000000000311" r="0.75000000000000311" t="1" header="0.4921259845000015" footer="0.492125984500001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i-FI" sz="1200"/>
              <a:t>Rahavarat ja lainakanta, €/asukas</a:t>
            </a:r>
          </a:p>
        </c:rich>
      </c:tx>
      <c:layout>
        <c:manualLayout>
          <c:xMode val="edge"/>
          <c:yMode val="edge"/>
          <c:x val="0.35307517084282664"/>
          <c:y val="3.3802863395223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04555808656066E-2"/>
          <c:y val="0.21126789622014774"/>
          <c:w val="0.86560364464692485"/>
          <c:h val="0.69014179431915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KEHIKKO!$A$117</c:f>
              <c:strCache>
                <c:ptCount val="1"/>
                <c:pt idx="0">
                  <c:v>Rahavarat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KEHIKKO!$B$116:$L$116</c:f>
              <c:strCache>
                <c:ptCount val="11"/>
                <c:pt idx="0">
                  <c:v>TP 2022</c:v>
                </c:pt>
                <c:pt idx="1">
                  <c:v>TP 2023</c:v>
                </c:pt>
                <c:pt idx="2">
                  <c:v>2 024</c:v>
                </c:pt>
                <c:pt idx="3">
                  <c:v>2 025</c:v>
                </c:pt>
                <c:pt idx="4">
                  <c:v>2 026</c:v>
                </c:pt>
                <c:pt idx="5">
                  <c:v>2 027</c:v>
                </c:pt>
                <c:pt idx="6">
                  <c:v>2 028</c:v>
                </c:pt>
                <c:pt idx="7">
                  <c:v>2 029</c:v>
                </c:pt>
                <c:pt idx="8">
                  <c:v>2 030</c:v>
                </c:pt>
                <c:pt idx="9">
                  <c:v>2 031</c:v>
                </c:pt>
                <c:pt idx="10">
                  <c:v>2 032</c:v>
                </c:pt>
              </c:strCache>
            </c:strRef>
          </c:cat>
          <c:val>
            <c:numRef>
              <c:f>KEHIKKO!$B$117:$L$117</c:f>
              <c:numCache>
                <c:formatCode>#,##0</c:formatCode>
                <c:ptCount val="11"/>
                <c:pt idx="0">
                  <c:v>5882.0911538461532</c:v>
                </c:pt>
                <c:pt idx="1">
                  <c:v>5633.7308347529815</c:v>
                </c:pt>
                <c:pt idx="2">
                  <c:v>5606.1279719768972</c:v>
                </c:pt>
                <c:pt idx="3">
                  <c:v>5603.1051622612722</c:v>
                </c:pt>
                <c:pt idx="4">
                  <c:v>5591.0308448945161</c:v>
                </c:pt>
                <c:pt idx="5">
                  <c:v>5589.6785015495961</c:v>
                </c:pt>
                <c:pt idx="6">
                  <c:v>5607.6757767759818</c:v>
                </c:pt>
                <c:pt idx="7">
                  <c:v>5631.3829124892973</c:v>
                </c:pt>
                <c:pt idx="8">
                  <c:v>5660.3716926502857</c:v>
                </c:pt>
                <c:pt idx="9">
                  <c:v>5687.8451230709488</c:v>
                </c:pt>
                <c:pt idx="10">
                  <c:v>5719.0603952770243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4-4DB0-8EEC-C9287D970E1A}"/>
            </c:ext>
          </c:extLst>
        </c:ser>
        <c:ser>
          <c:idx val="1"/>
          <c:order val="1"/>
          <c:tx>
            <c:strRef>
              <c:f>KEHIKKO!$A$118</c:f>
              <c:strCache>
                <c:ptCount val="1"/>
                <c:pt idx="0">
                  <c:v>Lainakanta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KEHIKKO!$B$116:$L$116</c:f>
              <c:strCache>
                <c:ptCount val="11"/>
                <c:pt idx="0">
                  <c:v>TP 2022</c:v>
                </c:pt>
                <c:pt idx="1">
                  <c:v>TP 2023</c:v>
                </c:pt>
                <c:pt idx="2">
                  <c:v>2 024</c:v>
                </c:pt>
                <c:pt idx="3">
                  <c:v>2 025</c:v>
                </c:pt>
                <c:pt idx="4">
                  <c:v>2 026</c:v>
                </c:pt>
                <c:pt idx="5">
                  <c:v>2 027</c:v>
                </c:pt>
                <c:pt idx="6">
                  <c:v>2 028</c:v>
                </c:pt>
                <c:pt idx="7">
                  <c:v>2 029</c:v>
                </c:pt>
                <c:pt idx="8">
                  <c:v>2 030</c:v>
                </c:pt>
                <c:pt idx="9">
                  <c:v>2 031</c:v>
                </c:pt>
                <c:pt idx="10">
                  <c:v>2 032</c:v>
                </c:pt>
              </c:strCache>
            </c:strRef>
          </c:cat>
          <c:val>
            <c:numRef>
              <c:f>KEHIKKO!$B$118:$L$118</c:f>
              <c:numCache>
                <c:formatCode>#,##0</c:formatCode>
                <c:ptCount val="11"/>
                <c:pt idx="0">
                  <c:v>8946.4882943143821</c:v>
                </c:pt>
                <c:pt idx="1">
                  <c:v>8688.2453151618392</c:v>
                </c:pt>
                <c:pt idx="2">
                  <c:v>8774.5854125047608</c:v>
                </c:pt>
                <c:pt idx="3">
                  <c:v>8691.1068615287622</c:v>
                </c:pt>
                <c:pt idx="4">
                  <c:v>8613.1185998933415</c:v>
                </c:pt>
                <c:pt idx="5">
                  <c:v>8459.7641386953146</c:v>
                </c:pt>
                <c:pt idx="6">
                  <c:v>8215.832915291383</c:v>
                </c:pt>
                <c:pt idx="7">
                  <c:v>7966.8930003157002</c:v>
                </c:pt>
                <c:pt idx="8">
                  <c:v>7718.802772027997</c:v>
                </c:pt>
                <c:pt idx="9">
                  <c:v>7459.9505166435465</c:v>
                </c:pt>
                <c:pt idx="10">
                  <c:v>7200.1212932453818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4-4DB0-8EEC-C9287D97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29344"/>
        <c:axId val="230331136"/>
      </c:barChart>
      <c:lineChart>
        <c:grouping val="standard"/>
        <c:varyColors val="0"/>
        <c:ser>
          <c:idx val="2"/>
          <c:order val="2"/>
          <c:tx>
            <c:strRef>
              <c:f>KEHIKKO!$A$119</c:f>
              <c:strCache>
                <c:ptCount val="1"/>
                <c:pt idx="0">
                  <c:v>Nettovelka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KEHIKKO!$B$116:$L$116</c:f>
              <c:strCache>
                <c:ptCount val="11"/>
                <c:pt idx="0">
                  <c:v>TP 2022</c:v>
                </c:pt>
                <c:pt idx="1">
                  <c:v>TP 2023</c:v>
                </c:pt>
                <c:pt idx="2">
                  <c:v>2 024</c:v>
                </c:pt>
                <c:pt idx="3">
                  <c:v>2 025</c:v>
                </c:pt>
                <c:pt idx="4">
                  <c:v>2 026</c:v>
                </c:pt>
                <c:pt idx="5">
                  <c:v>2 027</c:v>
                </c:pt>
                <c:pt idx="6">
                  <c:v>2 028</c:v>
                </c:pt>
                <c:pt idx="7">
                  <c:v>2 029</c:v>
                </c:pt>
                <c:pt idx="8">
                  <c:v>2 030</c:v>
                </c:pt>
                <c:pt idx="9">
                  <c:v>2 031</c:v>
                </c:pt>
                <c:pt idx="10">
                  <c:v>2 032</c:v>
                </c:pt>
              </c:strCache>
            </c:strRef>
          </c:cat>
          <c:val>
            <c:numRef>
              <c:f>KEHIKKO!$B$119:$L$119</c:f>
              <c:numCache>
                <c:formatCode>#,##0</c:formatCode>
                <c:ptCount val="11"/>
                <c:pt idx="0">
                  <c:v>3064.3971404682288</c:v>
                </c:pt>
                <c:pt idx="1">
                  <c:v>3054.5144804088577</c:v>
                </c:pt>
                <c:pt idx="2">
                  <c:v>3168.4574405278636</c:v>
                </c:pt>
                <c:pt idx="3">
                  <c:v>3088.00169926749</c:v>
                </c:pt>
                <c:pt idx="4">
                  <c:v>3022.0877549988254</c:v>
                </c:pt>
                <c:pt idx="5">
                  <c:v>2870.0856371457185</c:v>
                </c:pt>
                <c:pt idx="6">
                  <c:v>2608.1571385154011</c:v>
                </c:pt>
                <c:pt idx="7">
                  <c:v>2335.5100878264029</c:v>
                </c:pt>
                <c:pt idx="8">
                  <c:v>2058.4310793777113</c:v>
                </c:pt>
                <c:pt idx="9">
                  <c:v>1772.1053935725977</c:v>
                </c:pt>
                <c:pt idx="10">
                  <c:v>1481.0608979683575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E4-4DB0-8EEC-C9287D97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29344"/>
        <c:axId val="230331136"/>
      </c:lineChart>
      <c:catAx>
        <c:axId val="23032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23033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33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230329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209567198178048"/>
          <c:y val="4.7887389809900531E-2"/>
          <c:w val="0.15148063781321194"/>
          <c:h val="0.1464790747126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i-FI"/>
    </a:p>
  </c:txPr>
  <c:printSettings>
    <c:headerFooter alignWithMargins="0"/>
    <c:pageMargins b="1" l="0.75000000000000311" r="0.75000000000000311" t="1" header="0.4921259845000015" footer="0.492125984500001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Tlikauden yli-/alijäämä ja taseen kertynyt yli-/alijäämä, €/asukas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KEHIKKO!$A$147</c:f>
              <c:strCache>
                <c:ptCount val="1"/>
                <c:pt idx="0">
                  <c:v>Tlikauden yli-/alijäämä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KEHIKKO!$B$146:$M$146</c:f>
              <c:strCache>
                <c:ptCount val="12"/>
                <c:pt idx="0">
                  <c:v>TP 2022</c:v>
                </c:pt>
                <c:pt idx="1">
                  <c:v>TP 2023</c:v>
                </c:pt>
                <c:pt idx="2">
                  <c:v>2 024</c:v>
                </c:pt>
                <c:pt idx="3">
                  <c:v>2 025</c:v>
                </c:pt>
                <c:pt idx="4">
                  <c:v>2 026</c:v>
                </c:pt>
                <c:pt idx="5">
                  <c:v>2 027</c:v>
                </c:pt>
                <c:pt idx="6">
                  <c:v>2 028</c:v>
                </c:pt>
                <c:pt idx="7">
                  <c:v>2 029</c:v>
                </c:pt>
                <c:pt idx="8">
                  <c:v>2 030</c:v>
                </c:pt>
                <c:pt idx="9">
                  <c:v>2 031</c:v>
                </c:pt>
                <c:pt idx="10">
                  <c:v>2 032</c:v>
                </c:pt>
                <c:pt idx="11">
                  <c:v>2 033</c:v>
                </c:pt>
              </c:strCache>
            </c:strRef>
          </c:cat>
          <c:val>
            <c:numRef>
              <c:f>KEHIKKO!$B$147:$M$147</c:f>
              <c:numCache>
                <c:formatCode>#\ ##0_ ;[Red]\-#\ ##0\ </c:formatCode>
                <c:ptCount val="12"/>
                <c:pt idx="0">
                  <c:v>689.35285117056856</c:v>
                </c:pt>
                <c:pt idx="1">
                  <c:v>165.1863202725724</c:v>
                </c:pt>
                <c:pt idx="2">
                  <c:v>-386.15485359070851</c:v>
                </c:pt>
                <c:pt idx="3">
                  <c:v>-253.04146620647191</c:v>
                </c:pt>
                <c:pt idx="4">
                  <c:v>-248.38929890130805</c:v>
                </c:pt>
                <c:pt idx="5">
                  <c:v>-184.06843907653689</c:v>
                </c:pt>
                <c:pt idx="6">
                  <c:v>-71.680517319943277</c:v>
                </c:pt>
                <c:pt idx="7">
                  <c:v>-75.282549279705492</c:v>
                </c:pt>
                <c:pt idx="8">
                  <c:v>-79.631843896457653</c:v>
                </c:pt>
                <c:pt idx="9">
                  <c:v>-84.860713493184946</c:v>
                </c:pt>
                <c:pt idx="10">
                  <c:v>-91.030736592890293</c:v>
                </c:pt>
                <c:pt idx="11">
                  <c:v>-98.26131278543734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C-4A65-AA50-E4178B5E5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466560"/>
        <c:axId val="608473776"/>
      </c:barChart>
      <c:lineChart>
        <c:grouping val="standard"/>
        <c:varyColors val="0"/>
        <c:ser>
          <c:idx val="1"/>
          <c:order val="1"/>
          <c:tx>
            <c:strRef>
              <c:f>KEHIKKO!$A$148</c:f>
              <c:strCache>
                <c:ptCount val="1"/>
                <c:pt idx="0">
                  <c:v>Taseen kertynyt yli-/alijäämä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KEHIKKO!$B$146:$M$146</c:f>
              <c:strCache>
                <c:ptCount val="12"/>
                <c:pt idx="0">
                  <c:v>TP 2022</c:v>
                </c:pt>
                <c:pt idx="1">
                  <c:v>TP 2023</c:v>
                </c:pt>
                <c:pt idx="2">
                  <c:v>2 024</c:v>
                </c:pt>
                <c:pt idx="3">
                  <c:v>2 025</c:v>
                </c:pt>
                <c:pt idx="4">
                  <c:v>2 026</c:v>
                </c:pt>
                <c:pt idx="5">
                  <c:v>2 027</c:v>
                </c:pt>
                <c:pt idx="6">
                  <c:v>2 028</c:v>
                </c:pt>
                <c:pt idx="7">
                  <c:v>2 029</c:v>
                </c:pt>
                <c:pt idx="8">
                  <c:v>2 030</c:v>
                </c:pt>
                <c:pt idx="9">
                  <c:v>2 031</c:v>
                </c:pt>
                <c:pt idx="10">
                  <c:v>2 032</c:v>
                </c:pt>
                <c:pt idx="11">
                  <c:v>2 033</c:v>
                </c:pt>
              </c:strCache>
            </c:strRef>
          </c:cat>
          <c:val>
            <c:numRef>
              <c:f>KEHIKKO!$B$148:$M$148</c:f>
              <c:numCache>
                <c:formatCode>#\ ##0_ ;[Red]\-#\ ##0\ </c:formatCode>
                <c:ptCount val="12"/>
                <c:pt idx="0">
                  <c:v>-2553.7690802675584</c:v>
                </c:pt>
                <c:pt idx="1">
                  <c:v>-2436.4387393526408</c:v>
                </c:pt>
                <c:pt idx="2">
                  <c:v>-2861.2027139172446</c:v>
                </c:pt>
                <c:pt idx="3">
                  <c:v>-3162.7802736592084</c:v>
                </c:pt>
                <c:pt idx="4">
                  <c:v>-3460.2049256405044</c:v>
                </c:pt>
                <c:pt idx="5">
                  <c:v>-3698.7647808688603</c:v>
                </c:pt>
                <c:pt idx="6">
                  <c:v>-3832.9689021358749</c:v>
                </c:pt>
                <c:pt idx="7">
                  <c:v>-3974.1577040314905</c:v>
                </c:pt>
                <c:pt idx="8">
                  <c:v>-4123.3190105215017</c:v>
                </c:pt>
                <c:pt idx="9">
                  <c:v>-4276.3040724919338</c:v>
                </c:pt>
                <c:pt idx="10">
                  <c:v>-4437.9867348964699</c:v>
                </c:pt>
                <c:pt idx="11">
                  <c:v>-4609.5712502025026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C-4A65-AA50-E4178B5E5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66560"/>
        <c:axId val="608473776"/>
      </c:lineChart>
      <c:catAx>
        <c:axId val="6084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08473776"/>
        <c:crosses val="autoZero"/>
        <c:auto val="1"/>
        <c:lblAlgn val="ctr"/>
        <c:lblOffset val="100"/>
        <c:noMultiLvlLbl val="0"/>
      </c:catAx>
      <c:valAx>
        <c:axId val="60847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\ ##0_ ;[Red]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0846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fi-FI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15" dropStyle="combo" dx="15" fmlaLink="$A$5" fmlaRange="pohjatiedot!$B$3:$B$296" sel="112" val="102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81</xdr:row>
      <xdr:rowOff>9525</xdr:rowOff>
    </xdr:from>
    <xdr:to>
      <xdr:col>12</xdr:col>
      <xdr:colOff>142875</xdr:colOff>
      <xdr:row>106</xdr:row>
      <xdr:rowOff>9525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106</xdr:row>
      <xdr:rowOff>19050</xdr:rowOff>
    </xdr:from>
    <xdr:to>
      <xdr:col>12</xdr:col>
      <xdr:colOff>123825</xdr:colOff>
      <xdr:row>129</xdr:row>
      <xdr:rowOff>114300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352425</xdr:colOff>
      <xdr:row>57</xdr:row>
      <xdr:rowOff>0</xdr:rowOff>
    </xdr:from>
    <xdr:to>
      <xdr:col>30</xdr:col>
      <xdr:colOff>352425</xdr:colOff>
      <xdr:row>65</xdr:row>
      <xdr:rowOff>47625</xdr:rowOff>
    </xdr:to>
    <xdr:cxnSp macro="">
      <xdr:nvCxnSpPr>
        <xdr:cNvPr id="1052" name="AutoShape 28"/>
        <xdr:cNvCxnSpPr>
          <a:cxnSpLocks noChangeShapeType="1"/>
        </xdr:cNvCxnSpPr>
      </xdr:nvCxnSpPr>
      <xdr:spPr bwMode="auto">
        <a:xfrm>
          <a:off x="18954750" y="8086725"/>
          <a:ext cx="0" cy="1190625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31</xdr:col>
      <xdr:colOff>352425</xdr:colOff>
      <xdr:row>57</xdr:row>
      <xdr:rowOff>0</xdr:rowOff>
    </xdr:from>
    <xdr:to>
      <xdr:col>31</xdr:col>
      <xdr:colOff>352425</xdr:colOff>
      <xdr:row>65</xdr:row>
      <xdr:rowOff>47625</xdr:rowOff>
    </xdr:to>
    <xdr:cxnSp macro="">
      <xdr:nvCxnSpPr>
        <xdr:cNvPr id="1053" name="AutoShape 29"/>
        <xdr:cNvCxnSpPr>
          <a:cxnSpLocks noChangeShapeType="1"/>
        </xdr:cNvCxnSpPr>
      </xdr:nvCxnSpPr>
      <xdr:spPr bwMode="auto">
        <a:xfrm>
          <a:off x="19488150" y="8086725"/>
          <a:ext cx="0" cy="1190625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</xdr:row>
          <xdr:rowOff>57150</xdr:rowOff>
        </xdr:from>
        <xdr:to>
          <xdr:col>8</xdr:col>
          <xdr:colOff>561975</xdr:colOff>
          <xdr:row>2</xdr:row>
          <xdr:rowOff>66675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676274</xdr:colOff>
      <xdr:row>130</xdr:row>
      <xdr:rowOff>4762</xdr:rowOff>
    </xdr:from>
    <xdr:to>
      <xdr:col>12</xdr:col>
      <xdr:colOff>123824</xdr:colOff>
      <xdr:row>154</xdr:row>
      <xdr:rowOff>133350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0.81735</cdr:x>
      <cdr:y>0.14322</cdr:y>
    </cdr:from>
    <cdr:to>
      <cdr:x>0.92956</cdr:x>
      <cdr:y>0.23083</cdr:y>
    </cdr:to>
    <cdr:sp macro="" textlink="">
      <cdr:nvSpPr>
        <cdr:cNvPr id="2053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4222" y="517473"/>
          <a:ext cx="940546" cy="314610"/>
        </a:xfrm>
        <a:prstGeom xmlns:a="http://schemas.openxmlformats.org/drawingml/2006/main" prst="wedgeRectCallout">
          <a:avLst>
            <a:gd name="adj1" fmla="val -40722"/>
            <a:gd name="adj2" fmla="val -13634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Nettoinvestoinnit positiivisina lukuina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workbookViewId="0">
      <selection activeCell="H1" sqref="H1"/>
    </sheetView>
  </sheetViews>
  <sheetFormatPr defaultRowHeight="12.75" x14ac:dyDescent="0.2"/>
  <cols>
    <col min="1" max="7" width="9.33203125" style="516"/>
    <col min="8" max="8" width="10.1640625" style="516" bestFit="1" customWidth="1"/>
    <col min="9" max="14" width="9.33203125" style="516"/>
    <col min="15" max="20" width="9.33203125" style="513"/>
  </cols>
  <sheetData>
    <row r="1" spans="1:14" x14ac:dyDescent="0.2">
      <c r="A1" s="511" t="s">
        <v>403</v>
      </c>
      <c r="B1" s="511"/>
      <c r="C1" s="511"/>
      <c r="D1" s="511"/>
      <c r="E1" s="511"/>
      <c r="F1" s="511"/>
      <c r="G1" s="511"/>
      <c r="H1" s="512"/>
      <c r="I1" s="511"/>
      <c r="J1" s="511"/>
      <c r="K1" s="511"/>
      <c r="L1" s="511"/>
      <c r="M1" s="511"/>
      <c r="N1" s="511"/>
    </row>
    <row r="2" spans="1:14" x14ac:dyDescent="0.2">
      <c r="A2" s="511"/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</row>
    <row r="3" spans="1:14" ht="18" x14ac:dyDescent="0.25">
      <c r="A3" s="514" t="s">
        <v>331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</row>
    <row r="4" spans="1:14" ht="18.75" customHeight="1" x14ac:dyDescent="0.25">
      <c r="A4" s="515" t="s">
        <v>428</v>
      </c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</row>
    <row r="5" spans="1:14" x14ac:dyDescent="0.2"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</row>
    <row r="6" spans="1:14" ht="15.75" x14ac:dyDescent="0.25">
      <c r="A6" s="517" t="s">
        <v>375</v>
      </c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</row>
    <row r="7" spans="1:14" x14ac:dyDescent="0.2">
      <c r="A7" s="511" t="s">
        <v>379</v>
      </c>
      <c r="B7" s="511"/>
      <c r="C7" s="511"/>
      <c r="D7" s="511"/>
      <c r="E7" s="511"/>
      <c r="F7" s="511"/>
      <c r="G7" s="511"/>
      <c r="H7" s="511"/>
      <c r="I7" s="511"/>
      <c r="J7" s="511"/>
      <c r="K7" s="511"/>
      <c r="L7" s="511"/>
      <c r="M7" s="511"/>
      <c r="N7" s="511"/>
    </row>
    <row r="8" spans="1:14" x14ac:dyDescent="0.2">
      <c r="A8" s="511" t="s">
        <v>429</v>
      </c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</row>
    <row r="9" spans="1:14" x14ac:dyDescent="0.2">
      <c r="A9" s="511" t="s">
        <v>430</v>
      </c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</row>
    <row r="10" spans="1:14" x14ac:dyDescent="0.2">
      <c r="A10" s="511" t="s">
        <v>388</v>
      </c>
      <c r="B10" s="511"/>
      <c r="C10" s="511"/>
      <c r="D10" s="518"/>
      <c r="E10" s="518"/>
      <c r="F10" s="518"/>
      <c r="G10" s="518"/>
      <c r="H10" s="518"/>
      <c r="I10" s="518"/>
      <c r="J10" s="518"/>
      <c r="K10" s="518"/>
      <c r="L10" s="518"/>
      <c r="M10" s="518"/>
      <c r="N10" s="511"/>
    </row>
    <row r="11" spans="1:14" x14ac:dyDescent="0.2">
      <c r="A11" s="511"/>
      <c r="B11" s="511"/>
      <c r="C11" s="511"/>
      <c r="D11" s="518"/>
      <c r="E11" s="518"/>
      <c r="F11" s="518"/>
      <c r="G11" s="518"/>
      <c r="H11" s="518"/>
      <c r="I11" s="518"/>
      <c r="J11" s="518"/>
      <c r="K11" s="518"/>
      <c r="L11" s="518"/>
      <c r="M11" s="518"/>
      <c r="N11" s="511"/>
    </row>
    <row r="12" spans="1:14" x14ac:dyDescent="0.2">
      <c r="A12" s="519" t="s">
        <v>389</v>
      </c>
      <c r="B12" s="518"/>
      <c r="C12" s="518"/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N12" s="511"/>
    </row>
    <row r="13" spans="1:14" x14ac:dyDescent="0.2">
      <c r="A13" s="519" t="s">
        <v>431</v>
      </c>
      <c r="B13" s="518"/>
      <c r="C13" s="518"/>
      <c r="D13" s="518"/>
      <c r="E13" s="518"/>
      <c r="F13" s="518"/>
      <c r="G13" s="518"/>
      <c r="H13" s="518"/>
      <c r="I13" s="518"/>
      <c r="J13" s="518"/>
      <c r="K13" s="518"/>
      <c r="L13" s="518"/>
      <c r="M13" s="511"/>
      <c r="N13" s="511"/>
    </row>
    <row r="14" spans="1:14" x14ac:dyDescent="0.2">
      <c r="A14" s="511" t="s">
        <v>432</v>
      </c>
      <c r="B14" s="511"/>
      <c r="C14" s="511"/>
      <c r="D14" s="511"/>
      <c r="E14" s="511"/>
      <c r="F14" s="511"/>
      <c r="G14" s="511"/>
      <c r="H14" s="511"/>
      <c r="I14" s="511"/>
      <c r="J14" s="511"/>
      <c r="K14" s="511"/>
      <c r="L14" s="511"/>
      <c r="M14" s="511"/>
      <c r="N14" s="511"/>
    </row>
    <row r="15" spans="1:14" x14ac:dyDescent="0.2">
      <c r="A15" s="511" t="s">
        <v>376</v>
      </c>
      <c r="B15" s="511"/>
      <c r="C15" s="511"/>
      <c r="D15" s="511"/>
      <c r="E15" s="511"/>
      <c r="F15" s="511"/>
      <c r="G15" s="511"/>
      <c r="H15" s="511"/>
      <c r="I15" s="511"/>
      <c r="J15" s="511"/>
      <c r="K15" s="511"/>
      <c r="L15" s="511"/>
      <c r="M15" s="511"/>
      <c r="N15" s="511"/>
    </row>
    <row r="16" spans="1:14" x14ac:dyDescent="0.2">
      <c r="A16" s="511" t="s">
        <v>345</v>
      </c>
      <c r="B16" s="511"/>
      <c r="C16" s="511"/>
      <c r="D16" s="511"/>
      <c r="E16" s="511"/>
      <c r="F16" s="511"/>
      <c r="G16" s="511"/>
      <c r="H16" s="511"/>
      <c r="I16" s="511"/>
      <c r="J16" s="511"/>
      <c r="K16" s="511"/>
      <c r="L16" s="511"/>
      <c r="M16" s="511"/>
      <c r="N16" s="511"/>
    </row>
    <row r="17" spans="1:14" x14ac:dyDescent="0.2">
      <c r="A17" s="511" t="s">
        <v>346</v>
      </c>
      <c r="B17" s="511"/>
      <c r="C17" s="511"/>
      <c r="D17" s="511"/>
      <c r="E17" s="511"/>
      <c r="F17" s="511"/>
      <c r="G17" s="511"/>
      <c r="H17" s="511"/>
      <c r="I17" s="511"/>
      <c r="J17" s="511"/>
      <c r="K17" s="511"/>
      <c r="L17" s="511"/>
      <c r="M17" s="511"/>
      <c r="N17" s="511"/>
    </row>
    <row r="18" spans="1:14" x14ac:dyDescent="0.2">
      <c r="A18" s="511"/>
      <c r="B18" s="511"/>
      <c r="C18" s="511"/>
      <c r="D18" s="511"/>
      <c r="E18" s="511"/>
      <c r="F18" s="511"/>
      <c r="G18" s="511"/>
      <c r="H18" s="511"/>
      <c r="I18" s="511"/>
      <c r="J18" s="511"/>
      <c r="K18" s="511"/>
      <c r="L18" s="511"/>
      <c r="M18" s="511"/>
      <c r="N18" s="511"/>
    </row>
    <row r="19" spans="1:14" x14ac:dyDescent="0.2">
      <c r="A19" s="520" t="s">
        <v>333</v>
      </c>
      <c r="B19" s="511"/>
      <c r="C19" s="511"/>
      <c r="D19" s="511"/>
      <c r="E19" s="511"/>
      <c r="F19" s="511"/>
      <c r="G19" s="511"/>
      <c r="H19" s="511"/>
      <c r="I19" s="511"/>
      <c r="J19" s="511"/>
      <c r="K19" s="511"/>
      <c r="L19" s="511"/>
      <c r="M19" s="511"/>
      <c r="N19" s="511"/>
    </row>
    <row r="20" spans="1:14" x14ac:dyDescent="0.2">
      <c r="A20" s="511"/>
      <c r="B20" s="511"/>
      <c r="C20" s="511"/>
      <c r="D20" s="511"/>
      <c r="E20" s="511"/>
      <c r="F20" s="511"/>
      <c r="G20" s="511"/>
      <c r="H20" s="511"/>
      <c r="I20" s="511"/>
      <c r="J20" s="511"/>
      <c r="K20" s="511"/>
      <c r="L20" s="511"/>
      <c r="M20" s="511"/>
      <c r="N20" s="511"/>
    </row>
    <row r="21" spans="1:14" ht="15.75" x14ac:dyDescent="0.25">
      <c r="A21" s="517" t="s">
        <v>377</v>
      </c>
      <c r="B21" s="511"/>
      <c r="C21" s="511"/>
      <c r="D21" s="511"/>
      <c r="E21" s="511"/>
      <c r="F21" s="511"/>
      <c r="G21" s="511"/>
      <c r="H21" s="511"/>
      <c r="I21" s="511"/>
      <c r="J21" s="511"/>
      <c r="K21" s="511"/>
      <c r="L21" s="511"/>
      <c r="M21" s="511"/>
      <c r="N21" s="511"/>
    </row>
    <row r="22" spans="1:14" ht="14.25" x14ac:dyDescent="0.2">
      <c r="A22" s="521" t="s">
        <v>336</v>
      </c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L22" s="511"/>
      <c r="M22" s="511"/>
      <c r="N22" s="511"/>
    </row>
    <row r="23" spans="1:14" x14ac:dyDescent="0.2">
      <c r="A23" s="511" t="s">
        <v>433</v>
      </c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11"/>
    </row>
    <row r="24" spans="1:14" x14ac:dyDescent="0.2">
      <c r="A24" s="511" t="s">
        <v>434</v>
      </c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</row>
    <row r="25" spans="1:14" ht="14.25" x14ac:dyDescent="0.2">
      <c r="A25" s="521" t="s">
        <v>337</v>
      </c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M25" s="511"/>
      <c r="N25" s="511"/>
    </row>
    <row r="26" spans="1:14" x14ac:dyDescent="0.2">
      <c r="A26" s="511" t="s">
        <v>435</v>
      </c>
      <c r="B26" s="511"/>
      <c r="C26" s="511"/>
      <c r="D26" s="511"/>
      <c r="E26" s="511"/>
      <c r="F26" s="511"/>
      <c r="G26" s="511"/>
      <c r="H26" s="511"/>
      <c r="I26" s="511"/>
      <c r="J26" s="511"/>
      <c r="K26" s="511"/>
      <c r="L26" s="511"/>
      <c r="M26" s="511"/>
      <c r="N26" s="511"/>
    </row>
    <row r="27" spans="1:14" x14ac:dyDescent="0.2">
      <c r="A27" s="511" t="s">
        <v>436</v>
      </c>
      <c r="B27" s="511"/>
      <c r="C27" s="511"/>
      <c r="D27" s="511"/>
      <c r="E27" s="511"/>
      <c r="F27" s="511"/>
      <c r="G27" s="511"/>
      <c r="H27" s="511"/>
      <c r="I27" s="511"/>
      <c r="J27" s="511"/>
      <c r="K27" s="511"/>
      <c r="L27" s="511"/>
      <c r="M27" s="511"/>
      <c r="N27" s="511"/>
    </row>
    <row r="28" spans="1:14" x14ac:dyDescent="0.2">
      <c r="A28" s="511" t="s">
        <v>437</v>
      </c>
      <c r="B28" s="511"/>
      <c r="C28" s="511"/>
      <c r="D28" s="511"/>
      <c r="E28" s="511"/>
      <c r="F28" s="511"/>
      <c r="G28" s="511"/>
      <c r="H28" s="511"/>
      <c r="I28" s="511"/>
      <c r="J28" s="511"/>
      <c r="K28" s="511"/>
      <c r="L28" s="511"/>
      <c r="M28" s="511"/>
      <c r="N28" s="511"/>
    </row>
    <row r="29" spans="1:14" x14ac:dyDescent="0.2">
      <c r="A29" s="511" t="s">
        <v>332</v>
      </c>
      <c r="B29" s="511"/>
      <c r="C29" s="511"/>
      <c r="D29" s="511"/>
      <c r="E29" s="511"/>
      <c r="F29" s="511"/>
      <c r="G29" s="511"/>
      <c r="H29" s="511"/>
      <c r="I29" s="511"/>
      <c r="J29" s="511"/>
      <c r="K29" s="511"/>
      <c r="L29" s="511"/>
      <c r="M29" s="511"/>
      <c r="N29" s="511"/>
    </row>
    <row r="30" spans="1:14" ht="14.25" x14ac:dyDescent="0.2">
      <c r="A30" s="521" t="s">
        <v>338</v>
      </c>
      <c r="B30" s="511"/>
      <c r="C30" s="511"/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</row>
    <row r="31" spans="1:14" x14ac:dyDescent="0.2">
      <c r="A31" s="511" t="s">
        <v>438</v>
      </c>
      <c r="B31" s="511"/>
      <c r="C31" s="511"/>
      <c r="D31" s="511"/>
      <c r="E31" s="511"/>
      <c r="F31" s="511"/>
      <c r="G31" s="511"/>
      <c r="H31" s="511"/>
      <c r="I31" s="511"/>
      <c r="J31" s="511"/>
      <c r="K31" s="511"/>
      <c r="L31" s="511"/>
      <c r="M31" s="511"/>
      <c r="N31" s="511"/>
    </row>
    <row r="32" spans="1:14" x14ac:dyDescent="0.2">
      <c r="A32" s="511" t="s">
        <v>439</v>
      </c>
      <c r="B32" s="511"/>
      <c r="C32" s="511"/>
      <c r="D32" s="511"/>
      <c r="E32" s="511"/>
      <c r="F32" s="511"/>
      <c r="G32" s="511"/>
      <c r="H32" s="511"/>
      <c r="I32" s="511"/>
      <c r="J32" s="511"/>
      <c r="K32" s="511"/>
      <c r="L32" s="511"/>
      <c r="M32" s="511"/>
      <c r="N32" s="511"/>
    </row>
    <row r="33" spans="1:14" x14ac:dyDescent="0.2">
      <c r="A33" s="511"/>
      <c r="B33" s="511"/>
      <c r="C33" s="511"/>
      <c r="D33" s="511"/>
      <c r="E33" s="511"/>
      <c r="F33" s="511"/>
      <c r="G33" s="511"/>
      <c r="H33" s="511"/>
      <c r="I33" s="511"/>
      <c r="J33" s="511"/>
      <c r="K33" s="511"/>
      <c r="L33" s="511"/>
      <c r="M33" s="511"/>
      <c r="N33" s="511"/>
    </row>
    <row r="34" spans="1:14" x14ac:dyDescent="0.2">
      <c r="A34" s="511" t="s">
        <v>441</v>
      </c>
      <c r="B34" s="511"/>
      <c r="C34" s="511"/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1"/>
    </row>
    <row r="35" spans="1:14" x14ac:dyDescent="0.2">
      <c r="A35" s="511"/>
      <c r="B35" s="520" t="s">
        <v>442</v>
      </c>
      <c r="C35" s="511"/>
      <c r="D35" s="511"/>
      <c r="E35" s="511"/>
      <c r="F35" s="511"/>
      <c r="G35" s="511"/>
      <c r="H35" s="511"/>
      <c r="I35" s="511"/>
      <c r="J35" s="511"/>
      <c r="K35" s="511"/>
      <c r="L35" s="511"/>
      <c r="M35" s="511"/>
      <c r="N35" s="511"/>
    </row>
    <row r="36" spans="1:14" x14ac:dyDescent="0.2">
      <c r="A36" s="511"/>
      <c r="B36" s="520" t="s">
        <v>397</v>
      </c>
      <c r="C36" s="511"/>
      <c r="D36" s="511"/>
      <c r="E36" s="511"/>
      <c r="F36" s="511"/>
      <c r="G36" s="511"/>
      <c r="H36" s="511"/>
      <c r="I36" s="511"/>
      <c r="J36" s="511"/>
      <c r="K36" s="511"/>
      <c r="L36" s="511"/>
      <c r="M36" s="511"/>
      <c r="N36" s="511"/>
    </row>
    <row r="37" spans="1:14" x14ac:dyDescent="0.2">
      <c r="A37" s="511"/>
      <c r="B37" s="520" t="s">
        <v>398</v>
      </c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</row>
    <row r="38" spans="1:14" x14ac:dyDescent="0.2">
      <c r="A38" s="511"/>
      <c r="B38" s="520" t="s">
        <v>399</v>
      </c>
      <c r="C38" s="511"/>
      <c r="D38" s="511"/>
      <c r="E38" s="511"/>
      <c r="F38" s="511"/>
      <c r="G38" s="511"/>
      <c r="H38" s="511"/>
      <c r="I38" s="511"/>
      <c r="J38" s="511"/>
      <c r="K38" s="511"/>
      <c r="L38" s="511"/>
      <c r="M38" s="511"/>
      <c r="N38" s="511"/>
    </row>
    <row r="39" spans="1:14" x14ac:dyDescent="0.2">
      <c r="A39" s="511"/>
      <c r="B39" s="520" t="s">
        <v>440</v>
      </c>
      <c r="C39" s="511"/>
      <c r="D39" s="511"/>
      <c r="E39" s="511"/>
      <c r="F39" s="511"/>
      <c r="G39" s="511"/>
      <c r="H39" s="511"/>
      <c r="I39" s="511"/>
      <c r="J39" s="511"/>
      <c r="K39" s="511"/>
      <c r="L39" s="511"/>
      <c r="M39" s="511"/>
      <c r="N39" s="511"/>
    </row>
    <row r="40" spans="1:14" x14ac:dyDescent="0.2">
      <c r="A40" s="511" t="s">
        <v>443</v>
      </c>
      <c r="B40" s="511"/>
      <c r="C40" s="511"/>
      <c r="D40" s="511"/>
      <c r="E40" s="511"/>
      <c r="F40" s="511"/>
      <c r="G40" s="511"/>
      <c r="H40" s="511"/>
      <c r="I40" s="511"/>
      <c r="J40" s="511"/>
      <c r="K40" s="511"/>
      <c r="L40" s="511"/>
      <c r="M40" s="511"/>
      <c r="N40" s="511"/>
    </row>
    <row r="41" spans="1:14" x14ac:dyDescent="0.2">
      <c r="A41" s="511"/>
      <c r="B41" s="511"/>
      <c r="C41" s="511"/>
      <c r="D41" s="511"/>
      <c r="E41" s="511"/>
      <c r="F41" s="511"/>
      <c r="G41" s="511"/>
      <c r="H41" s="511"/>
      <c r="I41" s="511"/>
      <c r="J41" s="511"/>
      <c r="K41" s="511"/>
      <c r="L41" s="511"/>
      <c r="M41" s="511"/>
      <c r="N41" s="511"/>
    </row>
    <row r="42" spans="1:14" x14ac:dyDescent="0.2">
      <c r="A42" s="511" t="s">
        <v>334</v>
      </c>
      <c r="B42" s="511"/>
      <c r="C42" s="511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1"/>
    </row>
    <row r="43" spans="1:14" x14ac:dyDescent="0.2">
      <c r="A43" s="511" t="s">
        <v>335</v>
      </c>
      <c r="B43" s="511"/>
      <c r="C43" s="511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</row>
    <row r="44" spans="1:14" x14ac:dyDescent="0.2">
      <c r="A44" s="511"/>
      <c r="B44" s="511"/>
      <c r="C44" s="511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</row>
    <row r="45" spans="1:14" x14ac:dyDescent="0.2">
      <c r="A45" s="511" t="s">
        <v>444</v>
      </c>
      <c r="B45" s="511"/>
      <c r="C45" s="511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</row>
    <row r="46" spans="1:14" ht="14.25" x14ac:dyDescent="0.2">
      <c r="A46" s="521" t="s">
        <v>340</v>
      </c>
      <c r="B46" s="511"/>
      <c r="C46" s="511"/>
      <c r="D46" s="511"/>
      <c r="E46" s="511"/>
      <c r="F46" s="511"/>
      <c r="G46" s="511"/>
      <c r="H46" s="511"/>
      <c r="I46" s="511"/>
      <c r="J46" s="511"/>
      <c r="K46" s="511"/>
      <c r="L46" s="511"/>
      <c r="M46" s="511"/>
      <c r="N46" s="511"/>
    </row>
    <row r="47" spans="1:14" x14ac:dyDescent="0.2">
      <c r="A47" s="511" t="s">
        <v>445</v>
      </c>
      <c r="B47" s="511"/>
      <c r="C47" s="511"/>
      <c r="D47" s="511"/>
      <c r="E47" s="511"/>
      <c r="F47" s="511"/>
      <c r="G47" s="511"/>
      <c r="H47" s="511"/>
      <c r="I47" s="511"/>
      <c r="J47" s="511"/>
      <c r="K47" s="511"/>
      <c r="L47" s="511"/>
      <c r="M47" s="511"/>
      <c r="N47" s="511"/>
    </row>
    <row r="48" spans="1:14" x14ac:dyDescent="0.2">
      <c r="A48" s="511" t="s">
        <v>341</v>
      </c>
      <c r="B48" s="511"/>
      <c r="C48" s="511"/>
      <c r="D48" s="511"/>
      <c r="E48" s="511"/>
      <c r="F48" s="511"/>
      <c r="G48" s="511"/>
      <c r="H48" s="511"/>
      <c r="I48" s="511"/>
      <c r="J48" s="511"/>
      <c r="K48" s="511"/>
      <c r="L48" s="511"/>
      <c r="M48" s="511"/>
      <c r="N48" s="511"/>
    </row>
    <row r="49" spans="1:14" x14ac:dyDescent="0.2">
      <c r="A49" s="511"/>
      <c r="B49" s="511"/>
      <c r="C49" s="511"/>
      <c r="D49" s="511"/>
      <c r="E49" s="511"/>
      <c r="F49" s="511"/>
      <c r="G49" s="511"/>
      <c r="H49" s="511"/>
      <c r="I49" s="511"/>
      <c r="J49" s="511"/>
      <c r="K49" s="511"/>
      <c r="L49" s="511"/>
      <c r="M49" s="511"/>
      <c r="N49" s="511"/>
    </row>
    <row r="50" spans="1:14" x14ac:dyDescent="0.2">
      <c r="A50" s="511" t="s">
        <v>446</v>
      </c>
      <c r="B50" s="511"/>
      <c r="C50" s="511"/>
      <c r="D50" s="511"/>
      <c r="E50" s="511"/>
      <c r="F50" s="511"/>
      <c r="G50" s="511"/>
      <c r="H50" s="511"/>
      <c r="I50" s="511"/>
      <c r="J50" s="511"/>
      <c r="K50" s="511"/>
      <c r="L50" s="511"/>
      <c r="M50" s="511"/>
      <c r="N50" s="511"/>
    </row>
    <row r="51" spans="1:14" x14ac:dyDescent="0.2">
      <c r="A51" s="511" t="s">
        <v>378</v>
      </c>
      <c r="B51" s="511"/>
      <c r="C51" s="511"/>
      <c r="D51" s="511"/>
      <c r="E51" s="511"/>
      <c r="F51" s="511"/>
      <c r="G51" s="511"/>
      <c r="H51" s="511"/>
      <c r="I51" s="511"/>
      <c r="J51" s="511"/>
      <c r="K51" s="511"/>
      <c r="L51" s="511"/>
      <c r="M51" s="511"/>
      <c r="N51" s="511"/>
    </row>
    <row r="52" spans="1:14" x14ac:dyDescent="0.2">
      <c r="A52" s="511"/>
      <c r="B52" s="511"/>
      <c r="C52" s="511"/>
      <c r="D52" s="511"/>
      <c r="E52" s="511"/>
      <c r="F52" s="511"/>
      <c r="G52" s="511"/>
      <c r="H52" s="511"/>
      <c r="I52" s="511"/>
      <c r="J52" s="511"/>
      <c r="K52" s="511"/>
      <c r="L52" s="511"/>
      <c r="M52" s="511"/>
      <c r="N52" s="511"/>
    </row>
    <row r="53" spans="1:14" x14ac:dyDescent="0.2">
      <c r="A53" s="511" t="s">
        <v>447</v>
      </c>
      <c r="B53" s="511"/>
      <c r="C53" s="511"/>
      <c r="D53" s="511"/>
      <c r="E53" s="511"/>
      <c r="F53" s="511"/>
      <c r="G53" s="511"/>
      <c r="H53" s="511"/>
      <c r="I53" s="511"/>
      <c r="J53" s="511"/>
      <c r="K53" s="511"/>
      <c r="L53" s="511"/>
      <c r="M53" s="511"/>
      <c r="N53" s="511"/>
    </row>
    <row r="54" spans="1:14" x14ac:dyDescent="0.2">
      <c r="A54" s="511" t="s">
        <v>448</v>
      </c>
      <c r="B54" s="511"/>
      <c r="C54" s="511"/>
      <c r="D54" s="511"/>
      <c r="E54" s="511"/>
      <c r="F54" s="511"/>
      <c r="G54" s="511"/>
      <c r="H54" s="511"/>
      <c r="I54" s="511"/>
      <c r="J54" s="511"/>
      <c r="K54" s="511"/>
      <c r="L54" s="511"/>
      <c r="M54" s="511"/>
      <c r="N54" s="511"/>
    </row>
    <row r="55" spans="1:14" x14ac:dyDescent="0.2">
      <c r="A55" s="522" t="s">
        <v>477</v>
      </c>
      <c r="B55" s="511"/>
      <c r="C55" s="511"/>
      <c r="D55" s="511"/>
      <c r="E55" s="511"/>
      <c r="F55" s="511"/>
      <c r="G55" s="511"/>
      <c r="H55" s="511"/>
      <c r="I55" s="511"/>
      <c r="J55" s="511"/>
      <c r="K55" s="511"/>
      <c r="L55" s="511"/>
      <c r="M55" s="511"/>
      <c r="N55" s="511"/>
    </row>
    <row r="56" spans="1:14" x14ac:dyDescent="0.2">
      <c r="A56" s="522"/>
      <c r="B56" s="522"/>
      <c r="C56" s="522"/>
      <c r="D56" s="522"/>
      <c r="E56" s="522"/>
      <c r="F56" s="522"/>
      <c r="G56" s="522"/>
      <c r="H56" s="522"/>
      <c r="I56" s="522"/>
      <c r="J56" s="522"/>
      <c r="K56" s="522"/>
      <c r="L56" s="522"/>
      <c r="M56" s="522"/>
      <c r="N56" s="522"/>
    </row>
    <row r="57" spans="1:14" x14ac:dyDescent="0.2">
      <c r="A57" s="544" t="s">
        <v>425</v>
      </c>
      <c r="B57" s="545"/>
      <c r="C57" s="545"/>
      <c r="D57" s="545"/>
      <c r="E57" s="545"/>
      <c r="F57" s="545"/>
      <c r="G57" s="545"/>
      <c r="H57" s="545"/>
      <c r="I57" s="545"/>
      <c r="J57" s="545"/>
      <c r="K57" s="545"/>
      <c r="L57" s="545"/>
      <c r="M57" s="545"/>
      <c r="N57" s="546"/>
    </row>
    <row r="58" spans="1:14" x14ac:dyDescent="0.2">
      <c r="A58" s="547" t="s">
        <v>478</v>
      </c>
      <c r="B58" s="548"/>
      <c r="C58" s="548"/>
      <c r="D58" s="548"/>
      <c r="E58" s="548"/>
      <c r="F58" s="548"/>
      <c r="G58" s="548"/>
      <c r="H58" s="548"/>
      <c r="I58" s="548"/>
      <c r="J58" s="548"/>
      <c r="K58" s="548"/>
      <c r="L58" s="548"/>
      <c r="M58" s="548"/>
      <c r="N58" s="549"/>
    </row>
    <row r="59" spans="1:14" x14ac:dyDescent="0.2">
      <c r="A59" s="550" t="s">
        <v>479</v>
      </c>
      <c r="B59" s="551"/>
      <c r="C59" s="551"/>
      <c r="D59" s="551"/>
      <c r="E59" s="551"/>
      <c r="F59" s="551"/>
      <c r="G59" s="551"/>
      <c r="H59" s="551"/>
      <c r="I59" s="551"/>
      <c r="J59" s="551"/>
      <c r="K59" s="551"/>
      <c r="L59" s="551"/>
      <c r="M59" s="551"/>
      <c r="N59" s="552"/>
    </row>
    <row r="60" spans="1:14" x14ac:dyDescent="0.2">
      <c r="B60" s="522"/>
      <c r="C60" s="511"/>
      <c r="D60" s="511"/>
      <c r="E60" s="511"/>
      <c r="F60" s="511"/>
      <c r="G60" s="511"/>
      <c r="H60" s="511"/>
      <c r="I60" s="511"/>
      <c r="J60" s="511"/>
      <c r="K60" s="511"/>
      <c r="L60" s="511"/>
      <c r="M60" s="511"/>
      <c r="N60" s="511"/>
    </row>
    <row r="61" spans="1:14" x14ac:dyDescent="0.2">
      <c r="A61" s="511" t="s">
        <v>426</v>
      </c>
      <c r="B61" s="511"/>
      <c r="C61" s="511"/>
      <c r="D61" s="511"/>
      <c r="E61" s="511"/>
      <c r="F61" s="511"/>
      <c r="G61" s="511"/>
      <c r="H61" s="511"/>
      <c r="I61" s="511"/>
      <c r="J61" s="511"/>
      <c r="K61" s="511"/>
      <c r="L61" s="511"/>
      <c r="M61" s="511"/>
      <c r="N61" s="511"/>
    </row>
    <row r="62" spans="1:14" x14ac:dyDescent="0.2">
      <c r="A62" s="511" t="s">
        <v>342</v>
      </c>
      <c r="B62" s="511"/>
      <c r="C62" s="511"/>
      <c r="D62" s="511"/>
      <c r="E62" s="511"/>
      <c r="F62" s="511"/>
      <c r="G62" s="511"/>
      <c r="H62" s="511"/>
      <c r="I62" s="511"/>
      <c r="J62" s="511"/>
      <c r="K62" s="511"/>
      <c r="L62" s="511"/>
      <c r="M62" s="511"/>
      <c r="N62" s="511"/>
    </row>
    <row r="63" spans="1:14" x14ac:dyDescent="0.2">
      <c r="A63" s="511" t="s">
        <v>427</v>
      </c>
      <c r="B63" s="511"/>
      <c r="C63" s="511"/>
      <c r="D63" s="511"/>
      <c r="E63" s="511"/>
      <c r="F63" s="511"/>
      <c r="G63" s="511"/>
      <c r="H63" s="511"/>
      <c r="I63" s="511"/>
      <c r="J63" s="511"/>
      <c r="K63" s="511"/>
      <c r="L63" s="511"/>
      <c r="M63" s="511"/>
      <c r="N63" s="511"/>
    </row>
    <row r="64" spans="1:14" ht="15" x14ac:dyDescent="0.2">
      <c r="A64" s="511"/>
      <c r="B64" s="511"/>
      <c r="C64" s="523"/>
      <c r="D64" s="523"/>
      <c r="E64" s="523"/>
      <c r="F64" s="523"/>
      <c r="G64" s="523"/>
      <c r="H64" s="523"/>
      <c r="I64" s="523"/>
      <c r="J64" s="523"/>
      <c r="K64" s="523"/>
      <c r="L64" s="523"/>
      <c r="M64" s="523"/>
      <c r="N64" s="523"/>
    </row>
    <row r="65" spans="1:20" s="145" customFormat="1" ht="15.75" x14ac:dyDescent="0.25">
      <c r="A65" s="517"/>
      <c r="B65" s="523"/>
      <c r="C65" s="511"/>
      <c r="D65" s="511"/>
      <c r="E65" s="511"/>
      <c r="F65" s="511"/>
      <c r="G65" s="511"/>
      <c r="H65" s="511"/>
      <c r="I65" s="511"/>
      <c r="J65" s="511"/>
      <c r="K65" s="511"/>
      <c r="L65" s="511"/>
      <c r="M65" s="511"/>
      <c r="N65" s="511"/>
      <c r="O65" s="524"/>
      <c r="P65" s="524"/>
      <c r="Q65" s="524"/>
      <c r="R65" s="513"/>
      <c r="S65" s="524"/>
      <c r="T65" s="524"/>
    </row>
    <row r="66" spans="1:20" ht="15" x14ac:dyDescent="0.2">
      <c r="A66" s="511"/>
      <c r="B66" s="511"/>
      <c r="C66" s="511"/>
      <c r="D66" s="511"/>
      <c r="E66" s="511"/>
      <c r="F66" s="511"/>
      <c r="G66" s="511"/>
      <c r="H66" s="511"/>
      <c r="I66" s="511"/>
      <c r="J66" s="511"/>
      <c r="K66" s="511"/>
      <c r="L66" s="511"/>
      <c r="M66" s="511"/>
      <c r="N66" s="511"/>
      <c r="R66" s="524"/>
    </row>
    <row r="67" spans="1:20" x14ac:dyDescent="0.2">
      <c r="A67" s="511"/>
      <c r="B67" s="511"/>
      <c r="C67" s="511"/>
      <c r="D67" s="511"/>
      <c r="E67" s="511"/>
      <c r="F67" s="511"/>
      <c r="G67" s="511"/>
      <c r="H67" s="511"/>
      <c r="I67" s="511"/>
      <c r="J67" s="511"/>
      <c r="K67" s="511"/>
      <c r="L67" s="511"/>
      <c r="M67" s="511"/>
      <c r="N67" s="511"/>
    </row>
    <row r="68" spans="1:20" x14ac:dyDescent="0.2">
      <c r="A68" s="525"/>
      <c r="B68" s="511"/>
    </row>
  </sheetData>
  <phoneticPr fontId="15" type="noConversion"/>
  <pageMargins left="0.59055118110236227" right="0.59055118110236227" top="0.59055118110236227" bottom="0.59055118110236227" header="0.51181102362204722" footer="0.51181102362204722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61"/>
  <sheetViews>
    <sheetView showGridLines="0" tabSelected="1" workbookViewId="0">
      <pane ySplit="5" topLeftCell="A6" activePane="bottomLeft" state="frozen"/>
      <selection pane="bottomLeft" activeCell="D11" sqref="D11"/>
    </sheetView>
  </sheetViews>
  <sheetFormatPr defaultRowHeight="11.25" x14ac:dyDescent="0.2"/>
  <cols>
    <col min="1" max="1" width="33.33203125" style="2" customWidth="1"/>
    <col min="2" max="2" width="11.5" style="1" customWidth="1"/>
    <col min="3" max="3" width="11.5" style="2" customWidth="1"/>
    <col min="4" max="4" width="11.83203125" style="2" customWidth="1"/>
    <col min="5" max="5" width="12" style="2" customWidth="1"/>
    <col min="6" max="7" width="11.33203125" style="2" customWidth="1"/>
    <col min="8" max="8" width="12.6640625" style="2" customWidth="1"/>
    <col min="9" max="9" width="12.83203125" style="2" customWidth="1"/>
    <col min="10" max="10" width="12.6640625" style="2" customWidth="1"/>
    <col min="11" max="11" width="13.33203125" style="2" customWidth="1"/>
    <col min="12" max="12" width="12.1640625" style="2" customWidth="1"/>
    <col min="13" max="13" width="12.33203125" style="2" customWidth="1"/>
    <col min="14" max="14" width="2.1640625" style="2" customWidth="1"/>
    <col min="15" max="15" width="10.6640625" style="2" bestFit="1" customWidth="1"/>
    <col min="16" max="16" width="13" style="2" customWidth="1"/>
    <col min="17" max="21" width="12" style="297" customWidth="1"/>
  </cols>
  <sheetData>
    <row r="1" spans="1:33" x14ac:dyDescent="0.2">
      <c r="A1" s="362" t="s">
        <v>449</v>
      </c>
      <c r="B1" s="25"/>
      <c r="C1" s="25"/>
      <c r="D1" s="77"/>
      <c r="E1" s="81"/>
      <c r="F1" s="25"/>
      <c r="G1" s="47"/>
      <c r="H1" s="97" t="s">
        <v>344</v>
      </c>
      <c r="I1" s="47"/>
      <c r="J1" s="47"/>
      <c r="K1" s="25"/>
      <c r="L1" s="43">
        <v>45562</v>
      </c>
      <c r="M1" s="25"/>
      <c r="N1" s="25"/>
      <c r="O1" s="25"/>
      <c r="P1" s="25"/>
      <c r="Q1" s="296"/>
      <c r="R1" s="296"/>
      <c r="S1" s="296"/>
      <c r="T1" s="296"/>
      <c r="U1" s="296"/>
      <c r="V1" s="30"/>
      <c r="W1" s="30"/>
      <c r="X1" s="30"/>
    </row>
    <row r="2" spans="1:33" ht="20.25" x14ac:dyDescent="0.3">
      <c r="A2" s="26" t="s">
        <v>331</v>
      </c>
      <c r="B2" s="25"/>
      <c r="C2" s="25"/>
      <c r="D2" s="25"/>
      <c r="E2" s="25"/>
      <c r="F2" s="356"/>
      <c r="G2" s="47"/>
      <c r="H2" s="48"/>
      <c r="I2" s="49"/>
      <c r="J2" s="452" t="s">
        <v>396</v>
      </c>
      <c r="K2" s="25"/>
      <c r="L2" s="115"/>
      <c r="M2" s="25"/>
      <c r="N2" s="25"/>
      <c r="O2" s="25"/>
      <c r="P2" s="81"/>
      <c r="Q2" s="296"/>
      <c r="R2" s="296"/>
      <c r="S2" s="296"/>
      <c r="T2" s="296"/>
      <c r="U2" s="296"/>
      <c r="V2" s="30"/>
      <c r="W2" s="30"/>
      <c r="X2" s="30"/>
    </row>
    <row r="3" spans="1:33" ht="18" x14ac:dyDescent="0.25">
      <c r="A3" s="272" t="s">
        <v>383</v>
      </c>
      <c r="B3" s="13"/>
      <c r="C3" s="13"/>
      <c r="D3" s="363"/>
      <c r="E3" s="25"/>
      <c r="F3" s="357"/>
      <c r="G3" s="47"/>
      <c r="H3" s="187"/>
      <c r="I3" s="188"/>
      <c r="J3" s="255"/>
      <c r="K3" s="25"/>
      <c r="M3" s="25"/>
      <c r="N3" s="25"/>
      <c r="O3" s="25"/>
      <c r="P3" s="25"/>
      <c r="Q3" s="131"/>
      <c r="R3" s="131"/>
      <c r="S3" s="131"/>
      <c r="T3" s="131"/>
      <c r="U3" s="131"/>
      <c r="V3" s="27"/>
      <c r="W3" s="27"/>
      <c r="X3" s="27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">
      <c r="A4" s="50" t="str">
        <f>INDEX(pohjatiedot!$B$3:$B$296,KEHIKKO!$A$5)</f>
        <v>Kyyjärvi</v>
      </c>
      <c r="B4" s="200"/>
      <c r="C4" s="200"/>
      <c r="D4" s="199"/>
      <c r="E4" s="189"/>
      <c r="F4" s="189"/>
      <c r="G4" s="189"/>
      <c r="H4" s="189"/>
      <c r="I4" s="189"/>
      <c r="J4" s="189"/>
      <c r="K4" s="189"/>
      <c r="L4" s="189"/>
      <c r="M4" s="189"/>
      <c r="N4" s="16"/>
      <c r="O4" s="16"/>
      <c r="P4" s="16"/>
      <c r="Q4" s="131"/>
      <c r="R4" s="131"/>
      <c r="S4" s="131"/>
      <c r="T4" s="131"/>
      <c r="U4" s="131"/>
      <c r="V4" s="27"/>
      <c r="W4" s="27"/>
      <c r="X4" s="27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">
      <c r="A5" s="51">
        <v>112</v>
      </c>
      <c r="B5" s="264" t="s">
        <v>402</v>
      </c>
      <c r="C5" s="265" t="s">
        <v>454</v>
      </c>
      <c r="D5" s="468">
        <v>2024</v>
      </c>
      <c r="E5" s="257">
        <v>2025</v>
      </c>
      <c r="F5" s="257">
        <v>2026</v>
      </c>
      <c r="G5" s="257">
        <v>2027</v>
      </c>
      <c r="H5" s="257">
        <v>2028</v>
      </c>
      <c r="I5" s="257">
        <v>2029</v>
      </c>
      <c r="J5" s="257">
        <v>2030</v>
      </c>
      <c r="K5" s="257">
        <v>2031</v>
      </c>
      <c r="L5" s="257">
        <v>2032</v>
      </c>
      <c r="M5" s="257">
        <v>2033</v>
      </c>
      <c r="N5" s="28"/>
      <c r="O5" s="28"/>
      <c r="P5" s="125"/>
      <c r="Q5" s="131"/>
      <c r="R5" s="31"/>
      <c r="S5" s="31"/>
      <c r="T5" s="31"/>
      <c r="U5" s="31"/>
      <c r="V5" s="31"/>
      <c r="W5" s="31"/>
      <c r="X5" s="31"/>
      <c r="Y5" s="7"/>
      <c r="Z5" s="7"/>
      <c r="AA5" s="7"/>
      <c r="AB5" s="7"/>
      <c r="AC5" s="7"/>
      <c r="AD5" s="7"/>
      <c r="AE5" s="8"/>
      <c r="AF5" s="8"/>
      <c r="AG5" s="9"/>
    </row>
    <row r="6" spans="1:33" ht="15.75" x14ac:dyDescent="0.25">
      <c r="A6" s="225" t="s">
        <v>322</v>
      </c>
      <c r="B6" s="553">
        <v>1000</v>
      </c>
      <c r="C6" s="553">
        <v>1000</v>
      </c>
      <c r="D6" s="554">
        <v>1000</v>
      </c>
      <c r="E6" s="555">
        <v>1000</v>
      </c>
      <c r="F6" s="555">
        <v>1000</v>
      </c>
      <c r="G6" s="555">
        <v>1000</v>
      </c>
      <c r="H6" s="555">
        <v>1000</v>
      </c>
      <c r="I6" s="555">
        <v>1000</v>
      </c>
      <c r="J6" s="555">
        <v>1000</v>
      </c>
      <c r="K6" s="555">
        <v>1000</v>
      </c>
      <c r="L6" s="555">
        <v>1000</v>
      </c>
      <c r="M6" s="556">
        <v>1000</v>
      </c>
      <c r="N6" s="29"/>
      <c r="O6" s="29"/>
      <c r="P6" s="29"/>
      <c r="Q6" s="32"/>
      <c r="R6" s="32"/>
      <c r="S6" s="32"/>
      <c r="T6" s="32"/>
      <c r="U6" s="32"/>
      <c r="V6" s="32"/>
      <c r="W6" s="32"/>
      <c r="X6" s="32"/>
      <c r="Y6" s="10"/>
      <c r="Z6" s="10"/>
      <c r="AA6" s="10"/>
      <c r="AB6" s="10"/>
      <c r="AC6" s="10"/>
      <c r="AD6" s="10"/>
      <c r="AE6" s="11"/>
      <c r="AF6" s="9"/>
      <c r="AG6" s="9"/>
    </row>
    <row r="7" spans="1:33" ht="15.75" x14ac:dyDescent="0.25">
      <c r="A7" s="557"/>
      <c r="B7" s="558"/>
      <c r="C7" s="559"/>
      <c r="D7" s="559"/>
      <c r="E7" s="560"/>
      <c r="F7" s="560"/>
      <c r="G7" s="560"/>
      <c r="H7" s="560"/>
      <c r="I7" s="560"/>
      <c r="J7" s="560"/>
      <c r="K7" s="560"/>
      <c r="L7" s="560"/>
      <c r="M7" s="561"/>
      <c r="N7" s="29"/>
      <c r="O7" s="29"/>
      <c r="P7" s="29"/>
      <c r="Q7" s="32"/>
      <c r="R7" s="32"/>
      <c r="S7" s="32"/>
      <c r="T7" s="32"/>
      <c r="U7" s="32"/>
      <c r="V7" s="32"/>
      <c r="W7" s="32"/>
      <c r="X7" s="32"/>
      <c r="Y7" s="10"/>
      <c r="Z7" s="10"/>
      <c r="AA7" s="10"/>
      <c r="AB7" s="10"/>
      <c r="AC7" s="10"/>
      <c r="AD7" s="10"/>
      <c r="AE7" s="11"/>
      <c r="AF7" s="9"/>
      <c r="AG7" s="9"/>
    </row>
    <row r="8" spans="1:33" x14ac:dyDescent="0.2">
      <c r="A8" s="19" t="s">
        <v>326</v>
      </c>
      <c r="B8" s="74">
        <f>VLOOKUP($A$4,pohjatiedot!$B$3:$CB$296,2)</f>
        <v>1196</v>
      </c>
      <c r="C8" s="116">
        <f>VLOOKUP($A$4,pohjatiedot!$B$3:$CB$296,40)</f>
        <v>1174</v>
      </c>
      <c r="D8" s="116">
        <f>VLOOKUP($A$4,väestöennuste!$A$8:$N$303,6)</f>
        <v>1155.6863711001643</v>
      </c>
      <c r="E8" s="282">
        <f>VLOOKUP($A$4,väestöennuste!$A$8:$N$303,7)</f>
        <v>1136.4088669950738</v>
      </c>
      <c r="F8" s="282">
        <f>VLOOKUP($A$4,väestöennuste!$A$8:$N$303,8)</f>
        <v>1119.0591133004925</v>
      </c>
      <c r="G8" s="282">
        <f>VLOOKUP($A$4,väestöennuste!$A$8:$N$303,9)</f>
        <v>1101.7093596059112</v>
      </c>
      <c r="H8" s="282">
        <f>VLOOKUP($A$4,väestöennuste!$A$8:$N$303,10)</f>
        <v>1083.3957307060755</v>
      </c>
      <c r="I8" s="282">
        <f>VLOOKUP($A$4,väestöennuste!$A$8:$N$303,11)</f>
        <v>1065.0821018062397</v>
      </c>
      <c r="J8" s="282">
        <f>VLOOKUP($A$4,väestöennuste!$A$8:$N$303,12)</f>
        <v>1046.768472906404</v>
      </c>
      <c r="K8" s="282">
        <f>VLOOKUP($A$4,väestöennuste!$A$8:$N$303,13)</f>
        <v>1029.755140238989</v>
      </c>
      <c r="L8" s="282">
        <f>VLOOKUP($A$4,väestöennuste!$A$8:$N$303,14)</f>
        <v>1013.0183285940774</v>
      </c>
      <c r="M8" s="283">
        <f>VLOOKUP($A$4,väestöennuste!$A$8:$O$303,15)</f>
        <v>996.55354362142123</v>
      </c>
      <c r="O8" s="446" t="s">
        <v>460</v>
      </c>
      <c r="P8" s="44"/>
      <c r="Q8" s="32"/>
      <c r="R8" s="32"/>
      <c r="S8" s="32"/>
      <c r="T8" s="32"/>
      <c r="U8" s="32"/>
      <c r="V8" s="32"/>
      <c r="W8" s="32"/>
      <c r="X8" s="32"/>
      <c r="Y8" s="10"/>
      <c r="Z8" s="10"/>
      <c r="AA8" s="10"/>
      <c r="AB8" s="10"/>
      <c r="AC8" s="10"/>
      <c r="AD8" s="10"/>
      <c r="AE8" s="11"/>
      <c r="AF8" s="9"/>
      <c r="AG8" s="9"/>
    </row>
    <row r="9" spans="1:33" x14ac:dyDescent="0.2">
      <c r="A9" s="226" t="s">
        <v>3</v>
      </c>
      <c r="B9" s="71">
        <f>VLOOKUP($A$4,pohjatiedot!$B$3:$CB$296,3)</f>
        <v>22.5</v>
      </c>
      <c r="C9" s="117">
        <f>VLOOKUP($A$4,pohjatiedot!$B$3:$CB$296,41)</f>
        <v>9.86</v>
      </c>
      <c r="D9" s="117">
        <f>VLOOKUP($A$4,pohjatiedot!$B$3:$CE$296,79)</f>
        <v>9.9</v>
      </c>
      <c r="E9" s="442">
        <f>VLOOKUP($A$4,pohjatiedot!$B$3:$CE$296,80)</f>
        <v>9.9</v>
      </c>
      <c r="F9" s="45">
        <f>E9</f>
        <v>9.9</v>
      </c>
      <c r="G9" s="45">
        <f>F9</f>
        <v>9.9</v>
      </c>
      <c r="H9" s="45">
        <f t="shared" ref="H9:M9" si="0">G9</f>
        <v>9.9</v>
      </c>
      <c r="I9" s="45">
        <f t="shared" si="0"/>
        <v>9.9</v>
      </c>
      <c r="J9" s="45">
        <f t="shared" si="0"/>
        <v>9.9</v>
      </c>
      <c r="K9" s="45">
        <f t="shared" si="0"/>
        <v>9.9</v>
      </c>
      <c r="L9" s="45">
        <f t="shared" si="0"/>
        <v>9.9</v>
      </c>
      <c r="M9" s="46">
        <f t="shared" si="0"/>
        <v>9.9</v>
      </c>
      <c r="N9" s="33"/>
      <c r="O9" s="81" t="s">
        <v>412</v>
      </c>
      <c r="P9" s="34"/>
      <c r="Q9" s="32"/>
      <c r="R9" s="32"/>
      <c r="S9" s="32"/>
      <c r="T9" s="32"/>
      <c r="U9" s="32"/>
      <c r="V9" s="32"/>
      <c r="W9" s="32"/>
      <c r="X9" s="32"/>
      <c r="Y9" s="10"/>
      <c r="Z9" s="10"/>
      <c r="AA9" s="10"/>
      <c r="AB9" s="10"/>
      <c r="AC9" s="10"/>
      <c r="AD9" s="10"/>
      <c r="AE9" s="11"/>
      <c r="AF9" s="9"/>
      <c r="AG9" s="9"/>
    </row>
    <row r="10" spans="1:33" x14ac:dyDescent="0.2">
      <c r="A10" s="209" t="s">
        <v>28</v>
      </c>
      <c r="B10" s="139">
        <f t="shared" ref="B10" si="1">B16/B9</f>
        <v>160.23461288888888</v>
      </c>
      <c r="C10" s="139">
        <f>C16/C9</f>
        <v>200.07031440162274</v>
      </c>
      <c r="D10" s="139">
        <f>D16/D9</f>
        <v>189.05739319063122</v>
      </c>
      <c r="E10" s="100">
        <f t="shared" ref="E10:M10" si="2">E16/E9</f>
        <v>198.94666823622569</v>
      </c>
      <c r="F10" s="100">
        <f>F16/F9</f>
        <v>208.11989009847966</v>
      </c>
      <c r="G10" s="301">
        <f>G16/G9</f>
        <v>215.9771223264863</v>
      </c>
      <c r="H10" s="100">
        <f t="shared" si="2"/>
        <v>224.84069956891733</v>
      </c>
      <c r="I10" s="100">
        <f t="shared" si="2"/>
        <v>230.46171705814024</v>
      </c>
      <c r="J10" s="100">
        <f t="shared" si="2"/>
        <v>236.22325998459371</v>
      </c>
      <c r="K10" s="100">
        <f t="shared" si="2"/>
        <v>242.12884148420852</v>
      </c>
      <c r="L10" s="100">
        <f t="shared" si="2"/>
        <v>248.1820625213137</v>
      </c>
      <c r="M10" s="227">
        <f t="shared" si="2"/>
        <v>254.38661408434655</v>
      </c>
      <c r="N10" s="34"/>
      <c r="O10" s="34"/>
      <c r="P10" s="34"/>
      <c r="Q10" s="32"/>
      <c r="R10" s="32"/>
      <c r="S10" s="32"/>
      <c r="T10" s="32"/>
      <c r="U10" s="32"/>
      <c r="V10" s="32"/>
      <c r="W10" s="32"/>
      <c r="X10" s="32"/>
      <c r="Y10" s="10"/>
      <c r="Z10" s="10"/>
      <c r="AA10" s="10"/>
      <c r="AB10" s="10"/>
      <c r="AC10" s="10"/>
      <c r="AD10" s="10"/>
      <c r="AE10" s="11"/>
      <c r="AF10" s="9"/>
      <c r="AG10" s="9"/>
    </row>
    <row r="11" spans="1:33" x14ac:dyDescent="0.2">
      <c r="A11" s="453" t="s">
        <v>422</v>
      </c>
      <c r="B11" s="126"/>
      <c r="C11" s="118"/>
      <c r="D11" s="140">
        <f>(D9-C9)*C10</f>
        <v>8.0028125760650948</v>
      </c>
      <c r="E11" s="109">
        <f t="shared" ref="E11:M11" si="3">(E9-D9)*D10</f>
        <v>0</v>
      </c>
      <c r="F11" s="109">
        <f>(F9-E9)*E10</f>
        <v>0</v>
      </c>
      <c r="G11" s="302">
        <f>(G9-F9)*F10</f>
        <v>0</v>
      </c>
      <c r="H11" s="109">
        <f t="shared" si="3"/>
        <v>0</v>
      </c>
      <c r="I11" s="109">
        <f t="shared" si="3"/>
        <v>0</v>
      </c>
      <c r="J11" s="109">
        <f t="shared" si="3"/>
        <v>0</v>
      </c>
      <c r="K11" s="109">
        <f t="shared" si="3"/>
        <v>0</v>
      </c>
      <c r="L11" s="109">
        <f t="shared" si="3"/>
        <v>0</v>
      </c>
      <c r="M11" s="110">
        <f t="shared" si="3"/>
        <v>0</v>
      </c>
      <c r="N11" s="14"/>
      <c r="O11" s="14"/>
      <c r="P11" s="14"/>
      <c r="Q11" s="536"/>
      <c r="R11" s="536"/>
      <c r="S11" s="536"/>
      <c r="T11" s="536"/>
      <c r="U11" s="536"/>
      <c r="V11" s="35"/>
      <c r="W11" s="35"/>
      <c r="X11" s="35"/>
      <c r="Y11" s="9"/>
      <c r="Z11" s="9"/>
      <c r="AA11" s="9"/>
      <c r="AB11" s="9"/>
      <c r="AC11" s="9"/>
      <c r="AD11" s="9"/>
      <c r="AE11" s="9"/>
      <c r="AF11" s="9"/>
      <c r="AG11" s="9"/>
    </row>
    <row r="12" spans="1:33" s="3" customFormat="1" x14ac:dyDescent="0.2">
      <c r="A12" s="18" t="s">
        <v>472</v>
      </c>
      <c r="B12" s="53">
        <f>VLOOKUP($A$4,pohjatiedot!$B$3:$CB$296,6)</f>
        <v>1496.3438100000001</v>
      </c>
      <c r="C12" s="78">
        <f>VLOOKUP($A$4,pohjatiedot!$B$3:$CB$296,44)</f>
        <v>1313.60357</v>
      </c>
      <c r="D12" s="409">
        <f>C12*(1+D70/100)</f>
        <v>1331.4001794003752</v>
      </c>
      <c r="E12" s="410">
        <f t="shared" ref="E12:M12" si="4">D12*(1+E70/100)</f>
        <v>1301.12822510411</v>
      </c>
      <c r="F12" s="410">
        <f t="shared" si="4"/>
        <v>1319.0714472161212</v>
      </c>
      <c r="G12" s="410">
        <f t="shared" si="4"/>
        <v>1337.0244164298638</v>
      </c>
      <c r="H12" s="410">
        <f t="shared" si="4"/>
        <v>1348.6433754548596</v>
      </c>
      <c r="I12" s="410">
        <f t="shared" si="4"/>
        <v>1360.3633051182112</v>
      </c>
      <c r="J12" s="410">
        <f t="shared" si="4"/>
        <v>1372.1850828711424</v>
      </c>
      <c r="K12" s="410">
        <f t="shared" si="4"/>
        <v>1384.1095937900695</v>
      </c>
      <c r="L12" s="410">
        <f t="shared" si="4"/>
        <v>1396.1377306428672</v>
      </c>
      <c r="M12" s="411">
        <f t="shared" si="4"/>
        <v>1408.2703939557073</v>
      </c>
      <c r="N12" s="350"/>
      <c r="O12" s="428" t="s">
        <v>394</v>
      </c>
      <c r="P12" s="428"/>
      <c r="Q12" s="292"/>
      <c r="R12" s="292"/>
      <c r="S12" s="292"/>
      <c r="T12" s="292"/>
      <c r="U12" s="292"/>
      <c r="V12" s="292"/>
      <c r="W12" s="292"/>
      <c r="X12" s="298"/>
      <c r="Y12" s="294"/>
      <c r="Z12" s="294"/>
      <c r="AA12" s="6"/>
      <c r="AB12" s="6"/>
      <c r="AC12" s="6"/>
      <c r="AD12" s="6"/>
      <c r="AE12" s="6"/>
      <c r="AF12" s="6"/>
      <c r="AG12" s="6"/>
    </row>
    <row r="13" spans="1:33" s="3" customFormat="1" x14ac:dyDescent="0.2">
      <c r="A13" s="19" t="s">
        <v>5</v>
      </c>
      <c r="B13" s="56">
        <f>VLOOKUP($A$4,pohjatiedot!$B$3:$CB$296,7)</f>
        <v>11121.756789999999</v>
      </c>
      <c r="C13" s="88">
        <f>VLOOKUP($A$4,pohjatiedot!$B$3:$CB$296,45)</f>
        <v>4840.4757399999999</v>
      </c>
      <c r="D13" s="412">
        <f t="shared" ref="D13" si="5">C13*(1+D71/100)</f>
        <v>4950.0187875457514</v>
      </c>
      <c r="E13" s="413">
        <f t="shared" ref="E13" si="6">D13*(1+E71/100)</f>
        <v>5280.1816777761096</v>
      </c>
      <c r="F13" s="413">
        <f t="shared" ref="F13" si="7">E13*(1+F71/100)</f>
        <v>5439.9047866231494</v>
      </c>
      <c r="G13" s="413">
        <f t="shared" ref="G13" si="8">F13*(1+G71/100)</f>
        <v>5594.4844072510086</v>
      </c>
      <c r="H13" s="413">
        <f t="shared" ref="H13" si="9">G13*(1+H71/100)</f>
        <v>5726.1629511913197</v>
      </c>
      <c r="I13" s="413">
        <f t="shared" ref="I13:M13" si="10">H13*(1+I71/100)</f>
        <v>5860.9408404281821</v>
      </c>
      <c r="J13" s="413">
        <f t="shared" si="10"/>
        <v>5998.8910248969441</v>
      </c>
      <c r="K13" s="413">
        <f t="shared" si="10"/>
        <v>6140.0881715707665</v>
      </c>
      <c r="L13" s="413">
        <f t="shared" si="10"/>
        <v>6284.6087048748986</v>
      </c>
      <c r="M13" s="414">
        <f t="shared" si="10"/>
        <v>6432.5308480521944</v>
      </c>
      <c r="N13" s="350"/>
      <c r="O13" s="428" t="s">
        <v>392</v>
      </c>
      <c r="P13" s="428"/>
      <c r="Q13" s="292"/>
      <c r="R13" s="292"/>
      <c r="S13" s="292"/>
      <c r="T13" s="292"/>
      <c r="U13" s="292"/>
      <c r="V13" s="292"/>
      <c r="W13" s="292"/>
      <c r="X13" s="292"/>
      <c r="Y13" s="294"/>
      <c r="Z13" s="294"/>
      <c r="AA13" s="12"/>
      <c r="AB13" s="12"/>
      <c r="AC13" s="6"/>
      <c r="AD13" s="6"/>
      <c r="AE13" s="6"/>
      <c r="AF13" s="6"/>
      <c r="AG13" s="6"/>
    </row>
    <row r="14" spans="1:33" s="326" customFormat="1" x14ac:dyDescent="0.2">
      <c r="A14" s="531" t="s">
        <v>470</v>
      </c>
      <c r="B14" s="421">
        <f>VLOOKUP($A$4,pohjatiedot!$B$3:$CR$296,94)</f>
        <v>7.4658599999999993</v>
      </c>
      <c r="C14" s="535">
        <f>VLOOKUP($A$4,pohjatiedot!$B$3:$CR$296,95)</f>
        <v>0</v>
      </c>
      <c r="D14" s="535">
        <f>C14</f>
        <v>0</v>
      </c>
      <c r="E14" s="195">
        <f t="shared" ref="E14:M14" si="11">D14</f>
        <v>0</v>
      </c>
      <c r="F14" s="195">
        <f t="shared" si="11"/>
        <v>0</v>
      </c>
      <c r="G14" s="195">
        <f t="shared" si="11"/>
        <v>0</v>
      </c>
      <c r="H14" s="195">
        <f t="shared" si="11"/>
        <v>0</v>
      </c>
      <c r="I14" s="195">
        <f t="shared" si="11"/>
        <v>0</v>
      </c>
      <c r="J14" s="195">
        <f t="shared" si="11"/>
        <v>0</v>
      </c>
      <c r="K14" s="195">
        <f t="shared" si="11"/>
        <v>0</v>
      </c>
      <c r="L14" s="195">
        <f t="shared" si="11"/>
        <v>0</v>
      </c>
      <c r="M14" s="542">
        <f t="shared" si="11"/>
        <v>0</v>
      </c>
      <c r="N14" s="351"/>
      <c r="O14" s="428" t="s">
        <v>393</v>
      </c>
      <c r="P14" s="429"/>
      <c r="Q14" s="323"/>
      <c r="R14" s="323"/>
      <c r="S14" s="323"/>
      <c r="T14" s="323"/>
      <c r="U14" s="323"/>
      <c r="V14" s="323"/>
      <c r="W14" s="323"/>
      <c r="X14" s="323"/>
      <c r="Y14" s="324"/>
      <c r="Z14" s="324"/>
      <c r="AA14" s="325"/>
      <c r="AB14" s="325"/>
    </row>
    <row r="15" spans="1:33" s="3" customFormat="1" x14ac:dyDescent="0.2">
      <c r="A15" s="22" t="s">
        <v>15</v>
      </c>
      <c r="B15" s="59">
        <f>B12-B13+B14</f>
        <v>-9617.9471199999989</v>
      </c>
      <c r="C15" s="121">
        <f>C12-C13+C14</f>
        <v>-3526.8721699999996</v>
      </c>
      <c r="D15" s="121">
        <f>D12-D13+D14</f>
        <v>-3618.6186081453761</v>
      </c>
      <c r="E15" s="66">
        <f>E12-E13+E14</f>
        <v>-3979.0534526719994</v>
      </c>
      <c r="F15" s="66">
        <f t="shared" ref="F15:M15" si="12">F12-F13+F14</f>
        <v>-4120.8333394070287</v>
      </c>
      <c r="G15" s="66">
        <f t="shared" si="12"/>
        <v>-4257.4599908211449</v>
      </c>
      <c r="H15" s="66">
        <f t="shared" si="12"/>
        <v>-4377.51957573646</v>
      </c>
      <c r="I15" s="66">
        <f t="shared" si="12"/>
        <v>-4500.5775353099707</v>
      </c>
      <c r="J15" s="66">
        <f t="shared" si="12"/>
        <v>-4626.705942025802</v>
      </c>
      <c r="K15" s="66">
        <f t="shared" si="12"/>
        <v>-4755.9785777806974</v>
      </c>
      <c r="L15" s="66">
        <f t="shared" si="12"/>
        <v>-4888.4709742320319</v>
      </c>
      <c r="M15" s="66">
        <f t="shared" si="12"/>
        <v>-5024.2604540964876</v>
      </c>
      <c r="N15" s="350"/>
      <c r="O15" s="430"/>
      <c r="P15" s="428"/>
      <c r="Q15" s="293"/>
      <c r="R15" s="295"/>
      <c r="S15" s="293"/>
      <c r="T15" s="293"/>
      <c r="U15" s="293"/>
      <c r="V15" s="293"/>
      <c r="W15" s="293"/>
      <c r="X15" s="293"/>
      <c r="Y15" s="293"/>
      <c r="Z15" s="295"/>
    </row>
    <row r="16" spans="1:33" x14ac:dyDescent="0.2">
      <c r="A16" s="20" t="s">
        <v>13</v>
      </c>
      <c r="B16" s="62">
        <f>VLOOKUP($A$4,pohjatiedot!$B$3:$CB$296,9)</f>
        <v>3605.2787899999998</v>
      </c>
      <c r="C16" s="119">
        <f>VLOOKUP($A$4,pohjatiedot!$B$3:$CB$296,47)</f>
        <v>1972.6933000000001</v>
      </c>
      <c r="D16" s="435">
        <f t="shared" ref="D16" si="13">(C16+D11)*(1+D73/100)</f>
        <v>1871.668192587249</v>
      </c>
      <c r="E16" s="338">
        <f t="shared" ref="E16" si="14">(D16+E11)*(1+E73/100)</f>
        <v>1969.5720155386343</v>
      </c>
      <c r="F16" s="338">
        <f t="shared" ref="F16" si="15">(E16+F11)*(1+F73/100)</f>
        <v>2060.3869119749488</v>
      </c>
      <c r="G16" s="338">
        <f t="shared" ref="G16:M16" si="16">(F16+G11)*(1+G73/100)</f>
        <v>2138.1735110322143</v>
      </c>
      <c r="H16" s="338">
        <f t="shared" si="16"/>
        <v>2225.9229257322818</v>
      </c>
      <c r="I16" s="338">
        <f t="shared" si="16"/>
        <v>2281.5709988755884</v>
      </c>
      <c r="J16" s="338">
        <f t="shared" si="16"/>
        <v>2338.6102738474779</v>
      </c>
      <c r="K16" s="338">
        <f t="shared" si="16"/>
        <v>2397.0755306936644</v>
      </c>
      <c r="L16" s="338">
        <f t="shared" si="16"/>
        <v>2457.0024189610058</v>
      </c>
      <c r="M16" s="436">
        <f t="shared" si="16"/>
        <v>2518.4274794350308</v>
      </c>
      <c r="N16" s="352"/>
      <c r="O16" s="430"/>
      <c r="P16" s="430"/>
      <c r="Q16" s="296"/>
      <c r="R16" s="296"/>
      <c r="S16" s="296"/>
      <c r="T16" s="296"/>
      <c r="U16" s="293"/>
      <c r="V16" s="296"/>
      <c r="W16" s="296"/>
      <c r="X16" s="296"/>
      <c r="Y16" s="297"/>
      <c r="Z16" s="297"/>
    </row>
    <row r="17" spans="1:26" x14ac:dyDescent="0.2">
      <c r="A17" s="21" t="s">
        <v>358</v>
      </c>
      <c r="B17" s="65">
        <f>VLOOKUP($A$4,pohjatiedot!$B$3:$CB$296,10)</f>
        <v>1434.9004299999999</v>
      </c>
      <c r="C17" s="120">
        <f>VLOOKUP($A$4,pohjatiedot!$B$3:$CB$296,48)</f>
        <v>804.22262999999998</v>
      </c>
      <c r="D17" s="437">
        <f t="shared" ref="D17:M18" si="17">C17*(1+D74/100)</f>
        <v>682.35513416465199</v>
      </c>
      <c r="E17" s="339">
        <f t="shared" si="17"/>
        <v>688.98372689653718</v>
      </c>
      <c r="F17" s="339">
        <f t="shared" si="17"/>
        <v>721.34685611691771</v>
      </c>
      <c r="G17" s="339">
        <f t="shared" ref="E17:M18" si="18">F17*(1+G74/100)</f>
        <v>764.23775026441012</v>
      </c>
      <c r="H17" s="339">
        <f t="shared" si="17"/>
        <v>791.14203841147355</v>
      </c>
      <c r="I17" s="339">
        <f t="shared" si="17"/>
        <v>810.92058937176034</v>
      </c>
      <c r="J17" s="339">
        <f t="shared" si="17"/>
        <v>831.19360410605429</v>
      </c>
      <c r="K17" s="339">
        <f t="shared" si="17"/>
        <v>851.97344420870559</v>
      </c>
      <c r="L17" s="339">
        <f t="shared" si="17"/>
        <v>873.27278031392314</v>
      </c>
      <c r="M17" s="438">
        <f t="shared" si="17"/>
        <v>895.1045998217711</v>
      </c>
      <c r="N17" s="352"/>
      <c r="O17" s="430"/>
      <c r="P17" s="430"/>
      <c r="Q17" s="296"/>
      <c r="R17" s="296"/>
      <c r="S17" s="296"/>
      <c r="T17" s="296"/>
      <c r="U17" s="296"/>
      <c r="V17" s="296"/>
      <c r="W17" s="296"/>
      <c r="X17" s="296"/>
      <c r="Y17" s="297"/>
      <c r="Z17" s="297"/>
    </row>
    <row r="18" spans="1:26" x14ac:dyDescent="0.2">
      <c r="A18" s="21" t="s">
        <v>2</v>
      </c>
      <c r="B18" s="65">
        <f>VLOOKUP($A$4,pohjatiedot!$B$3:$CB$296,11)</f>
        <v>490.34613999999999</v>
      </c>
      <c r="C18" s="120">
        <f>VLOOKUP($A$4,pohjatiedot!$B$3:$CB$296,49)</f>
        <v>518.95776999999998</v>
      </c>
      <c r="D18" s="447">
        <f t="shared" si="17"/>
        <v>563.31535063647709</v>
      </c>
      <c r="E18" s="448">
        <f t="shared" si="18"/>
        <v>572.56558165745503</v>
      </c>
      <c r="F18" s="448">
        <f t="shared" si="18"/>
        <v>586.55952089431901</v>
      </c>
      <c r="G18" s="448">
        <f t="shared" si="18"/>
        <v>602.21375800674321</v>
      </c>
      <c r="H18" s="448">
        <f t="shared" si="18"/>
        <v>618.10518052996167</v>
      </c>
      <c r="I18" s="448">
        <f t="shared" si="18"/>
        <v>633.55781004321068</v>
      </c>
      <c r="J18" s="448">
        <f t="shared" si="18"/>
        <v>649.39675529429087</v>
      </c>
      <c r="K18" s="448">
        <f t="shared" si="18"/>
        <v>665.63167417664806</v>
      </c>
      <c r="L18" s="448">
        <f t="shared" si="18"/>
        <v>682.27246603106425</v>
      </c>
      <c r="M18" s="449">
        <f t="shared" si="18"/>
        <v>699.32927768184084</v>
      </c>
      <c r="N18" s="352"/>
      <c r="O18" s="430"/>
      <c r="P18" s="430"/>
      <c r="Q18" s="296"/>
      <c r="R18" s="296"/>
      <c r="S18" s="296"/>
      <c r="T18" s="296"/>
      <c r="U18" s="296"/>
      <c r="V18" s="30"/>
      <c r="W18" s="30"/>
      <c r="X18" s="30"/>
    </row>
    <row r="19" spans="1:26" s="3" customFormat="1" x14ac:dyDescent="0.2">
      <c r="A19" s="22" t="s">
        <v>6</v>
      </c>
      <c r="B19" s="59">
        <f>VLOOKUP($A$4,pohjatiedot!$B$3:$CB$296,12)</f>
        <v>5530.5253600000005</v>
      </c>
      <c r="C19" s="121">
        <f>VLOOKUP($A$4,pohjatiedot!$B$3:$CB$296,50)</f>
        <v>3295.8737000000001</v>
      </c>
      <c r="D19" s="121">
        <f t="shared" ref="D19:M19" si="19">SUM(D16:D18)</f>
        <v>3117.3386773883781</v>
      </c>
      <c r="E19" s="66">
        <f t="shared" si="19"/>
        <v>3231.1213240926263</v>
      </c>
      <c r="F19" s="66">
        <f t="shared" si="19"/>
        <v>3368.2932889861854</v>
      </c>
      <c r="G19" s="303">
        <f t="shared" si="19"/>
        <v>3504.6250193033679</v>
      </c>
      <c r="H19" s="66">
        <f t="shared" si="19"/>
        <v>3635.170144673717</v>
      </c>
      <c r="I19" s="66">
        <f t="shared" si="19"/>
        <v>3726.0493982905596</v>
      </c>
      <c r="J19" s="66">
        <f t="shared" si="19"/>
        <v>3819.2006332478231</v>
      </c>
      <c r="K19" s="66">
        <f t="shared" si="19"/>
        <v>3914.6806490790182</v>
      </c>
      <c r="L19" s="66">
        <f t="shared" si="19"/>
        <v>4012.5476653059932</v>
      </c>
      <c r="M19" s="67">
        <f t="shared" si="19"/>
        <v>4112.8613569386425</v>
      </c>
      <c r="N19" s="349"/>
      <c r="O19" s="439"/>
      <c r="P19" s="439"/>
      <c r="Q19" s="293"/>
      <c r="R19" s="293"/>
      <c r="S19" s="293"/>
      <c r="T19" s="293"/>
      <c r="U19" s="293"/>
      <c r="V19" s="15"/>
      <c r="W19" s="15"/>
      <c r="X19" s="15"/>
    </row>
    <row r="20" spans="1:26" s="3" customFormat="1" x14ac:dyDescent="0.2">
      <c r="A20" s="18" t="s">
        <v>421</v>
      </c>
      <c r="B20" s="53">
        <f>VLOOKUP($A$4,pohjatiedot!$B$3:$CB$296,13)</f>
        <v>5050.2479999999996</v>
      </c>
      <c r="C20" s="78">
        <f>VLOOKUP($A$4,pohjatiedot!$B$3:$CB$296,51)</f>
        <v>985.46</v>
      </c>
      <c r="D20" s="490">
        <f>VLOOKUP($A$4,pohjatiedot!$B$3:$CN$296,87)</f>
        <v>555.30130932803684</v>
      </c>
      <c r="E20" s="491">
        <f>VLOOKUP($A$4,pohjatiedot!$B$3:$CN$296,88)</f>
        <v>958.888905863486</v>
      </c>
      <c r="F20" s="491">
        <f>VLOOKUP($A$4,pohjatiedot!$B$3:$CN$296,89)</f>
        <v>965.1725488823048</v>
      </c>
      <c r="G20" s="491">
        <f>VLOOKUP($A$4,pohjatiedot!$B$3:$CN$296,90)</f>
        <v>1033.4979952735644</v>
      </c>
      <c r="H20" s="491">
        <f>VLOOKUP($A$4,pohjatiedot!$B$3:$CN$296,91)</f>
        <v>1138.5923845732855</v>
      </c>
      <c r="I20" s="492">
        <f>(H20)*(1+I76/100)</f>
        <v>1155.6712703418846</v>
      </c>
      <c r="J20" s="492">
        <f>(I20)*(1+J76/100)</f>
        <v>1173.0063393970127</v>
      </c>
      <c r="K20" s="492">
        <f>(J20)*(1+K76/100)</f>
        <v>1190.6014344879677</v>
      </c>
      <c r="L20" s="492">
        <f>(K20)*(1+L76/100)</f>
        <v>1208.4604560052871</v>
      </c>
      <c r="M20" s="493">
        <f>(L20)*(1+M76/100)</f>
        <v>1226.5873628453664</v>
      </c>
      <c r="N20" s="434"/>
      <c r="O20" s="489" t="s">
        <v>466</v>
      </c>
      <c r="P20" s="353"/>
      <c r="Q20" s="293"/>
      <c r="R20" s="293"/>
      <c r="S20" s="293"/>
      <c r="T20" s="293"/>
      <c r="U20" s="293"/>
      <c r="V20" s="15"/>
      <c r="W20" s="15"/>
      <c r="X20" s="15"/>
    </row>
    <row r="21" spans="1:26" s="3" customFormat="1" ht="9" customHeight="1" x14ac:dyDescent="0.2">
      <c r="A21" s="79"/>
      <c r="B21" s="133"/>
      <c r="C21" s="134"/>
      <c r="D21" s="80"/>
      <c r="E21" s="450"/>
      <c r="F21" s="451"/>
      <c r="G21" s="303"/>
      <c r="H21" s="451"/>
      <c r="I21" s="348"/>
      <c r="J21" s="66"/>
      <c r="K21" s="66"/>
      <c r="L21" s="66"/>
      <c r="M21" s="67"/>
      <c r="N21" s="434"/>
      <c r="O21" s="353"/>
      <c r="P21" s="17"/>
      <c r="Q21" s="296"/>
      <c r="R21" s="296"/>
      <c r="S21" s="296"/>
      <c r="T21" s="296"/>
      <c r="U21" s="296"/>
      <c r="V21" s="30"/>
      <c r="W21" s="30"/>
      <c r="X21" s="30"/>
      <c r="Y21" s="30"/>
      <c r="Z21" s="30"/>
    </row>
    <row r="22" spans="1:26" x14ac:dyDescent="0.2">
      <c r="A22" s="228" t="s">
        <v>8</v>
      </c>
      <c r="B22" s="65">
        <f>VLOOKUP($A$4,pohjatiedot!$B$3:$CB$296,14)</f>
        <v>19.233540000000001</v>
      </c>
      <c r="C22" s="120">
        <f>VLOOKUP($A$4,pohjatiedot!$B$3:$CB$296,52)</f>
        <v>0.96625000000000005</v>
      </c>
      <c r="D22" s="141">
        <f>C22</f>
        <v>0.96625000000000005</v>
      </c>
      <c r="E22" s="90">
        <f t="shared" ref="E22:M22" si="20">D22</f>
        <v>0.96625000000000005</v>
      </c>
      <c r="F22" s="90">
        <f t="shared" si="20"/>
        <v>0.96625000000000005</v>
      </c>
      <c r="G22" s="90">
        <f t="shared" si="20"/>
        <v>0.96625000000000005</v>
      </c>
      <c r="H22" s="90">
        <f t="shared" si="20"/>
        <v>0.96625000000000005</v>
      </c>
      <c r="I22" s="90">
        <f t="shared" si="20"/>
        <v>0.96625000000000005</v>
      </c>
      <c r="J22" s="90">
        <f t="shared" si="20"/>
        <v>0.96625000000000005</v>
      </c>
      <c r="K22" s="90">
        <f t="shared" si="20"/>
        <v>0.96625000000000005</v>
      </c>
      <c r="L22" s="90">
        <f t="shared" si="20"/>
        <v>0.96625000000000005</v>
      </c>
      <c r="M22" s="91">
        <f t="shared" si="20"/>
        <v>0.96625000000000005</v>
      </c>
      <c r="N22" s="84"/>
      <c r="O22" s="81" t="s">
        <v>409</v>
      </c>
      <c r="P22" s="23"/>
      <c r="Q22" s="296"/>
      <c r="R22" s="296"/>
      <c r="S22" s="296"/>
      <c r="T22" s="296"/>
      <c r="U22" s="296"/>
      <c r="V22" s="85"/>
      <c r="W22" s="85"/>
      <c r="X22" s="85"/>
      <c r="Y22" s="85"/>
      <c r="Z22" s="85"/>
    </row>
    <row r="23" spans="1:26" x14ac:dyDescent="0.2">
      <c r="A23" s="228" t="s">
        <v>10</v>
      </c>
      <c r="B23" s="65">
        <f>VLOOKUP($A$4,pohjatiedot!$B$3:$CB$296,15)</f>
        <v>20.18882</v>
      </c>
      <c r="C23" s="65">
        <f>VLOOKUP($A$4,pohjatiedot!$B$3:$CB$296,53)</f>
        <v>348.80708000000004</v>
      </c>
      <c r="D23" s="340">
        <f>($H$79/100)*C61</f>
        <v>306</v>
      </c>
      <c r="E23" s="340">
        <f>($H$79/100)*D61</f>
        <v>304.22006319858195</v>
      </c>
      <c r="F23" s="340">
        <f t="shared" ref="F23:M23" si="21">($H$79/100)*E61</f>
        <v>296.29952704329037</v>
      </c>
      <c r="G23" s="340">
        <f t="shared" si="21"/>
        <v>289.1576658944586</v>
      </c>
      <c r="H23" s="340">
        <f t="shared" si="21"/>
        <v>279.60603994977203</v>
      </c>
      <c r="I23" s="340">
        <f t="shared" si="21"/>
        <v>267.02994913863404</v>
      </c>
      <c r="J23" s="340">
        <f>($H$79/100)*I61</f>
        <v>254.56185424924996</v>
      </c>
      <c r="K23" s="340">
        <f t="shared" si="21"/>
        <v>242.39398171024393</v>
      </c>
      <c r="L23" s="340">
        <f t="shared" si="21"/>
        <v>230.45767171326582</v>
      </c>
      <c r="M23" s="341">
        <f t="shared" si="21"/>
        <v>218.81564514474192</v>
      </c>
      <c r="N23" s="84"/>
      <c r="O23" s="81" t="s">
        <v>453</v>
      </c>
      <c r="P23" s="83"/>
      <c r="Q23" s="296"/>
      <c r="R23" s="296"/>
      <c r="S23" s="296"/>
      <c r="T23" s="296"/>
      <c r="U23" s="296"/>
      <c r="V23" s="85"/>
      <c r="W23" s="85"/>
      <c r="X23" s="85"/>
      <c r="Y23" s="85"/>
      <c r="Z23" s="85"/>
    </row>
    <row r="24" spans="1:26" x14ac:dyDescent="0.2">
      <c r="A24" s="228" t="s">
        <v>9</v>
      </c>
      <c r="B24" s="65">
        <f>VLOOKUP($A$4,pohjatiedot!$B$3:$CB$296,16)</f>
        <v>10.044729999999999</v>
      </c>
      <c r="C24" s="120">
        <f>VLOOKUP($A$4,pohjatiedot!$B$3:$CB$296,54)</f>
        <v>334.10899000000001</v>
      </c>
      <c r="D24" s="142">
        <f>C24</f>
        <v>334.10899000000001</v>
      </c>
      <c r="E24" s="92">
        <f t="shared" ref="E24:M24" si="22">D24</f>
        <v>334.10899000000001</v>
      </c>
      <c r="F24" s="92">
        <f t="shared" si="22"/>
        <v>334.10899000000001</v>
      </c>
      <c r="G24" s="92">
        <f t="shared" si="22"/>
        <v>334.10899000000001</v>
      </c>
      <c r="H24" s="92">
        <f t="shared" si="22"/>
        <v>334.10899000000001</v>
      </c>
      <c r="I24" s="92">
        <f t="shared" si="22"/>
        <v>334.10899000000001</v>
      </c>
      <c r="J24" s="92">
        <f t="shared" si="22"/>
        <v>334.10899000000001</v>
      </c>
      <c r="K24" s="92">
        <f t="shared" si="22"/>
        <v>334.10899000000001</v>
      </c>
      <c r="L24" s="92">
        <f t="shared" si="22"/>
        <v>334.10899000000001</v>
      </c>
      <c r="M24" s="93">
        <f t="shared" si="22"/>
        <v>334.10899000000001</v>
      </c>
      <c r="N24" s="23"/>
      <c r="O24" s="81" t="s">
        <v>409</v>
      </c>
      <c r="P24" s="23"/>
      <c r="Q24" s="296"/>
      <c r="R24" s="296"/>
      <c r="S24" s="296"/>
      <c r="T24" s="296"/>
      <c r="U24" s="296"/>
      <c r="V24" s="30"/>
      <c r="W24" s="30"/>
      <c r="X24" s="30"/>
    </row>
    <row r="25" spans="1:26" x14ac:dyDescent="0.2">
      <c r="A25" s="228" t="s">
        <v>11</v>
      </c>
      <c r="B25" s="128">
        <f>VLOOKUP($A$4,pohjatiedot!$B$3:$CB$296,17)</f>
        <v>137.76954000000001</v>
      </c>
      <c r="C25" s="122">
        <f>VLOOKUP($A$4,pohjatiedot!$B$3:$CB$296,55)</f>
        <v>14.763069999999999</v>
      </c>
      <c r="D25" s="143">
        <f>C25</f>
        <v>14.763069999999999</v>
      </c>
      <c r="E25" s="94">
        <f t="shared" ref="E25:M25" si="23">D25</f>
        <v>14.763069999999999</v>
      </c>
      <c r="F25" s="94">
        <f t="shared" si="23"/>
        <v>14.763069999999999</v>
      </c>
      <c r="G25" s="94">
        <f t="shared" si="23"/>
        <v>14.763069999999999</v>
      </c>
      <c r="H25" s="94">
        <f t="shared" si="23"/>
        <v>14.763069999999999</v>
      </c>
      <c r="I25" s="94">
        <f t="shared" si="23"/>
        <v>14.763069999999999</v>
      </c>
      <c r="J25" s="94">
        <f t="shared" si="23"/>
        <v>14.763069999999999</v>
      </c>
      <c r="K25" s="94">
        <f t="shared" si="23"/>
        <v>14.763069999999999</v>
      </c>
      <c r="L25" s="94">
        <f t="shared" si="23"/>
        <v>14.763069999999999</v>
      </c>
      <c r="M25" s="95">
        <f t="shared" si="23"/>
        <v>14.763069999999999</v>
      </c>
      <c r="N25" s="23"/>
      <c r="O25" s="81" t="s">
        <v>409</v>
      </c>
      <c r="P25" s="23"/>
      <c r="Q25" s="296"/>
      <c r="R25" s="296"/>
      <c r="S25" s="296"/>
      <c r="T25" s="296"/>
      <c r="U25" s="296"/>
      <c r="V25" s="30"/>
      <c r="W25" s="30"/>
      <c r="X25" s="30"/>
    </row>
    <row r="26" spans="1:26" s="316" customFormat="1" x14ac:dyDescent="0.2">
      <c r="A26" s="365" t="s">
        <v>12</v>
      </c>
      <c r="B26" s="366">
        <f>VLOOKUP($A$4,pohjatiedot!$B$3:$CB$296,18)</f>
        <v>834.14615000000003</v>
      </c>
      <c r="C26" s="367">
        <f>VLOOKUP($A$4,pohjatiedot!$B$3:$CB$296,56)</f>
        <v>725.96662000000003</v>
      </c>
      <c r="D26" s="367">
        <f>D15+D19+D20+D22-D23+D24-D25</f>
        <v>68.33354857103879</v>
      </c>
      <c r="E26" s="368">
        <f>E15+E19+E20+E22-E23+E24-E25</f>
        <v>227.048884085531</v>
      </c>
      <c r="F26" s="368">
        <f t="shared" ref="F26:M26" si="24">F15+F19+F20+F22-F23+F24-F25</f>
        <v>236.64514141817116</v>
      </c>
      <c r="G26" s="368">
        <f t="shared" si="24"/>
        <v>311.81752786132881</v>
      </c>
      <c r="H26" s="368">
        <f t="shared" si="24"/>
        <v>436.94908356077053</v>
      </c>
      <c r="I26" s="368">
        <f t="shared" si="24"/>
        <v>434.42535418383943</v>
      </c>
      <c r="J26" s="368">
        <f t="shared" si="24"/>
        <v>431.25134636978385</v>
      </c>
      <c r="K26" s="368">
        <f t="shared" si="24"/>
        <v>427.22169407604463</v>
      </c>
      <c r="L26" s="368">
        <f t="shared" si="24"/>
        <v>422.39164536598253</v>
      </c>
      <c r="M26" s="369">
        <f t="shared" si="24"/>
        <v>416.68479054277952</v>
      </c>
      <c r="N26" s="315"/>
      <c r="O26" s="315"/>
      <c r="P26" s="315"/>
      <c r="Q26" s="537"/>
      <c r="R26" s="537"/>
      <c r="S26" s="537"/>
      <c r="T26" s="537"/>
      <c r="U26" s="537"/>
    </row>
    <row r="27" spans="1:26" s="3" customFormat="1" x14ac:dyDescent="0.2">
      <c r="A27" s="370" t="s">
        <v>360</v>
      </c>
      <c r="B27" s="371">
        <f>1000*B26/B8</f>
        <v>697.44661371237464</v>
      </c>
      <c r="C27" s="372">
        <f>1000*C26/C8</f>
        <v>618.37020442930157</v>
      </c>
      <c r="D27" s="372">
        <f>1000*D26/D8</f>
        <v>59.128108005624533</v>
      </c>
      <c r="E27" s="373">
        <f t="shared" ref="E27:M27" si="25">1000*E26/E8</f>
        <v>199.79506556113066</v>
      </c>
      <c r="F27" s="373">
        <f t="shared" si="25"/>
        <v>211.46795428904804</v>
      </c>
      <c r="G27" s="373">
        <f>1000*G26/G8</f>
        <v>283.03066062075391</v>
      </c>
      <c r="H27" s="373">
        <f t="shared" si="25"/>
        <v>403.31438566404552</v>
      </c>
      <c r="I27" s="373">
        <f t="shared" si="25"/>
        <v>407.87968687776367</v>
      </c>
      <c r="J27" s="373">
        <f>1000*J26/J8</f>
        <v>411.98350688991746</v>
      </c>
      <c r="K27" s="373">
        <f t="shared" si="25"/>
        <v>414.87697160403934</v>
      </c>
      <c r="L27" s="373">
        <f t="shared" si="25"/>
        <v>416.96347780024962</v>
      </c>
      <c r="M27" s="374">
        <f t="shared" si="25"/>
        <v>418.12584302150964</v>
      </c>
      <c r="N27" s="17"/>
      <c r="O27" s="17"/>
      <c r="P27" s="17"/>
      <c r="Q27" s="293"/>
      <c r="R27" s="293"/>
      <c r="S27" s="293"/>
      <c r="T27" s="293"/>
      <c r="U27" s="293"/>
      <c r="V27" s="15"/>
      <c r="W27" s="15"/>
      <c r="X27" s="15"/>
    </row>
    <row r="28" spans="1:26" x14ac:dyDescent="0.2">
      <c r="A28" s="228" t="s">
        <v>16</v>
      </c>
      <c r="B28" s="62">
        <f>VLOOKUP($A$4,pohjatiedot!$B$3:$CB$296,20)</f>
        <v>9.6801399999999997</v>
      </c>
      <c r="C28" s="119">
        <f>VLOOKUP($A$4,pohjatiedot!$B$3:$CB$296,58)</f>
        <v>514.60744999999997</v>
      </c>
      <c r="D28" s="247">
        <f>C28</f>
        <v>514.60744999999997</v>
      </c>
      <c r="E28" s="241">
        <f t="shared" ref="E28:M28" si="26">D28</f>
        <v>514.60744999999997</v>
      </c>
      <c r="F28" s="241">
        <f t="shared" si="26"/>
        <v>514.60744999999997</v>
      </c>
      <c r="G28" s="241">
        <f t="shared" si="26"/>
        <v>514.60744999999997</v>
      </c>
      <c r="H28" s="241">
        <f t="shared" si="26"/>
        <v>514.60744999999997</v>
      </c>
      <c r="I28" s="241">
        <f t="shared" si="26"/>
        <v>514.60744999999997</v>
      </c>
      <c r="J28" s="241">
        <f t="shared" si="26"/>
        <v>514.60744999999997</v>
      </c>
      <c r="K28" s="241">
        <f t="shared" si="26"/>
        <v>514.60744999999997</v>
      </c>
      <c r="L28" s="241">
        <f t="shared" si="26"/>
        <v>514.60744999999997</v>
      </c>
      <c r="M28" s="242">
        <f t="shared" si="26"/>
        <v>514.60744999999997</v>
      </c>
      <c r="N28" s="467"/>
      <c r="O28" s="81" t="s">
        <v>409</v>
      </c>
      <c r="P28" s="83"/>
      <c r="Q28" s="76"/>
      <c r="R28" s="296"/>
      <c r="S28" s="296"/>
      <c r="T28" s="296"/>
      <c r="U28" s="296"/>
      <c r="V28" s="30"/>
      <c r="W28" s="30"/>
      <c r="X28" s="30"/>
    </row>
    <row r="29" spans="1:26" x14ac:dyDescent="0.2">
      <c r="A29" s="229" t="s">
        <v>18</v>
      </c>
      <c r="B29" s="65">
        <f>VLOOKUP($A$4,pohjatiedot!$B$3:$CB$296,21)</f>
        <v>0</v>
      </c>
      <c r="C29" s="120">
        <f>VLOOKUP($A$4,pohjatiedot!$B$3:$CB$296,59)</f>
        <v>0.94</v>
      </c>
      <c r="D29" s="248">
        <v>0</v>
      </c>
      <c r="E29" s="243">
        <v>0</v>
      </c>
      <c r="F29" s="243">
        <v>0</v>
      </c>
      <c r="G29" s="243">
        <v>0</v>
      </c>
      <c r="H29" s="243">
        <v>0</v>
      </c>
      <c r="I29" s="243">
        <v>0</v>
      </c>
      <c r="J29" s="243">
        <v>0</v>
      </c>
      <c r="K29" s="243">
        <v>0</v>
      </c>
      <c r="L29" s="243">
        <v>0</v>
      </c>
      <c r="M29" s="244">
        <v>0</v>
      </c>
      <c r="N29" s="23"/>
      <c r="O29" s="81" t="s">
        <v>407</v>
      </c>
      <c r="P29" s="23"/>
      <c r="Q29" s="296"/>
      <c r="R29" s="296"/>
      <c r="S29" s="296"/>
      <c r="T29" s="296"/>
      <c r="U29" s="296"/>
      <c r="V29" s="30"/>
      <c r="W29" s="30"/>
      <c r="X29" s="30"/>
    </row>
    <row r="30" spans="1:26" x14ac:dyDescent="0.2">
      <c r="A30" s="229" t="s">
        <v>19</v>
      </c>
      <c r="B30" s="65">
        <f>VLOOKUP($A$4,pohjatiedot!$B$3:$CB$296,22)</f>
        <v>0</v>
      </c>
      <c r="C30" s="120">
        <f>VLOOKUP($A$4,pohjatiedot!$B$3:$CB$296,60)</f>
        <v>18.370429999999999</v>
      </c>
      <c r="D30" s="248">
        <v>0</v>
      </c>
      <c r="E30" s="243">
        <v>0</v>
      </c>
      <c r="F30" s="243">
        <v>0</v>
      </c>
      <c r="G30" s="243">
        <v>0</v>
      </c>
      <c r="H30" s="243">
        <v>0</v>
      </c>
      <c r="I30" s="243">
        <v>0</v>
      </c>
      <c r="J30" s="243">
        <v>0</v>
      </c>
      <c r="K30" s="243">
        <v>0</v>
      </c>
      <c r="L30" s="243">
        <v>0</v>
      </c>
      <c r="M30" s="244">
        <v>0</v>
      </c>
      <c r="N30" s="23"/>
      <c r="O30" s="81" t="s">
        <v>407</v>
      </c>
      <c r="P30" s="23"/>
      <c r="Q30" s="296"/>
      <c r="R30" s="296"/>
      <c r="S30" s="296"/>
      <c r="T30" s="296"/>
      <c r="U30" s="296"/>
      <c r="V30" s="30"/>
      <c r="W30" s="30"/>
      <c r="X30" s="30"/>
    </row>
    <row r="31" spans="1:26" s="3" customFormat="1" x14ac:dyDescent="0.2">
      <c r="A31" s="375" t="s">
        <v>354</v>
      </c>
      <c r="B31" s="376">
        <f>VLOOKUP($A$4,pohjatiedot!$B$3:$CB$296,23)</f>
        <v>824.46600999999998</v>
      </c>
      <c r="C31" s="377">
        <f>VLOOKUP($A$4,pohjatiedot!$B$3:$CB$296,61)</f>
        <v>193.92874</v>
      </c>
      <c r="D31" s="377">
        <f>D26-D28+D29-D30</f>
        <v>-446.27390142896115</v>
      </c>
      <c r="E31" s="378">
        <f t="shared" ref="E31:M31" si="27">E26-E28+E29-E30</f>
        <v>-287.558565914469</v>
      </c>
      <c r="F31" s="378">
        <f t="shared" si="27"/>
        <v>-277.96230858182878</v>
      </c>
      <c r="G31" s="378">
        <f t="shared" si="27"/>
        <v>-202.78992213867116</v>
      </c>
      <c r="H31" s="378">
        <f t="shared" si="27"/>
        <v>-77.658366439229439</v>
      </c>
      <c r="I31" s="378">
        <f t="shared" si="27"/>
        <v>-80.18209581616054</v>
      </c>
      <c r="J31" s="378">
        <f t="shared" si="27"/>
        <v>-83.356103630216126</v>
      </c>
      <c r="K31" s="378">
        <f t="shared" si="27"/>
        <v>-87.385755923955344</v>
      </c>
      <c r="L31" s="378">
        <f t="shared" si="27"/>
        <v>-92.215804634017445</v>
      </c>
      <c r="M31" s="379">
        <f t="shared" si="27"/>
        <v>-97.922659457220448</v>
      </c>
      <c r="N31" s="17"/>
      <c r="O31" s="17"/>
      <c r="P31" s="17"/>
      <c r="Q31" s="293"/>
      <c r="R31" s="293"/>
      <c r="S31" s="293"/>
      <c r="T31" s="293"/>
      <c r="U31" s="293"/>
      <c r="V31" s="15"/>
      <c r="W31" s="15"/>
      <c r="X31" s="15"/>
    </row>
    <row r="32" spans="1:26" x14ac:dyDescent="0.2">
      <c r="A32" s="229" t="s">
        <v>25</v>
      </c>
      <c r="B32" s="65">
        <f>VLOOKUP($A$4,pohjatiedot!$B$3:$CB$296,24)</f>
        <v>0</v>
      </c>
      <c r="C32" s="120">
        <f>VLOOKUP($A$4,pohjatiedot!$B$3:$CB$296,62)</f>
        <v>0</v>
      </c>
      <c r="D32" s="142">
        <f t="shared" ref="D32:M32" si="28">C32</f>
        <v>0</v>
      </c>
      <c r="E32" s="92">
        <f t="shared" si="28"/>
        <v>0</v>
      </c>
      <c r="F32" s="92">
        <f t="shared" si="28"/>
        <v>0</v>
      </c>
      <c r="G32" s="92">
        <f t="shared" si="28"/>
        <v>0</v>
      </c>
      <c r="H32" s="92">
        <f t="shared" si="28"/>
        <v>0</v>
      </c>
      <c r="I32" s="92">
        <f t="shared" si="28"/>
        <v>0</v>
      </c>
      <c r="J32" s="92">
        <f t="shared" si="28"/>
        <v>0</v>
      </c>
      <c r="K32" s="92">
        <f t="shared" si="28"/>
        <v>0</v>
      </c>
      <c r="L32" s="92">
        <f t="shared" si="28"/>
        <v>0</v>
      </c>
      <c r="M32" s="93">
        <f t="shared" si="28"/>
        <v>0</v>
      </c>
      <c r="N32" s="23"/>
      <c r="O32" s="81" t="s">
        <v>409</v>
      </c>
      <c r="P32" s="23"/>
      <c r="Q32" s="296"/>
      <c r="R32" s="296"/>
      <c r="S32" s="296"/>
      <c r="T32" s="296"/>
      <c r="U32" s="296"/>
      <c r="V32" s="30"/>
      <c r="W32" s="30"/>
      <c r="X32" s="30"/>
    </row>
    <row r="33" spans="1:24" x14ac:dyDescent="0.2">
      <c r="A33" s="229" t="s">
        <v>26</v>
      </c>
      <c r="B33" s="65">
        <f>VLOOKUP($A$4,pohjatiedot!$B$3:$CB$296,25)</f>
        <v>0</v>
      </c>
      <c r="C33" s="120">
        <f>VLOOKUP($A$4,pohjatiedot!$B$3:$CB$296,63)</f>
        <v>0</v>
      </c>
      <c r="D33" s="142">
        <f t="shared" ref="D33:M33" si="29">C33</f>
        <v>0</v>
      </c>
      <c r="E33" s="92">
        <f t="shared" si="29"/>
        <v>0</v>
      </c>
      <c r="F33" s="92">
        <f t="shared" si="29"/>
        <v>0</v>
      </c>
      <c r="G33" s="92">
        <f t="shared" si="29"/>
        <v>0</v>
      </c>
      <c r="H33" s="92">
        <f t="shared" si="29"/>
        <v>0</v>
      </c>
      <c r="I33" s="92">
        <f t="shared" si="29"/>
        <v>0</v>
      </c>
      <c r="J33" s="92">
        <f t="shared" si="29"/>
        <v>0</v>
      </c>
      <c r="K33" s="92">
        <f t="shared" si="29"/>
        <v>0</v>
      </c>
      <c r="L33" s="92">
        <f t="shared" si="29"/>
        <v>0</v>
      </c>
      <c r="M33" s="93">
        <f t="shared" si="29"/>
        <v>0</v>
      </c>
      <c r="N33" s="23"/>
      <c r="O33" s="81" t="s">
        <v>409</v>
      </c>
      <c r="P33" s="23"/>
      <c r="Q33" s="296"/>
      <c r="R33" s="296"/>
      <c r="S33" s="296"/>
      <c r="T33" s="296"/>
      <c r="U33" s="296"/>
      <c r="V33" s="30"/>
      <c r="W33" s="30"/>
      <c r="X33" s="30"/>
    </row>
    <row r="34" spans="1:24" x14ac:dyDescent="0.2">
      <c r="A34" s="229" t="s">
        <v>27</v>
      </c>
      <c r="B34" s="65">
        <f>VLOOKUP($A$4,pohjatiedot!$B$3:$CB$296,26)</f>
        <v>0</v>
      </c>
      <c r="C34" s="120">
        <f>VLOOKUP($A$4,pohjatiedot!$B$3:$CB$296,64)</f>
        <v>0</v>
      </c>
      <c r="D34" s="142">
        <f t="shared" ref="D34:M34" si="30">C34</f>
        <v>0</v>
      </c>
      <c r="E34" s="92">
        <f t="shared" si="30"/>
        <v>0</v>
      </c>
      <c r="F34" s="92">
        <f t="shared" si="30"/>
        <v>0</v>
      </c>
      <c r="G34" s="92">
        <f t="shared" si="30"/>
        <v>0</v>
      </c>
      <c r="H34" s="92">
        <f t="shared" si="30"/>
        <v>0</v>
      </c>
      <c r="I34" s="92">
        <f t="shared" si="30"/>
        <v>0</v>
      </c>
      <c r="J34" s="92">
        <f t="shared" si="30"/>
        <v>0</v>
      </c>
      <c r="K34" s="92">
        <f t="shared" si="30"/>
        <v>0</v>
      </c>
      <c r="L34" s="92">
        <f t="shared" si="30"/>
        <v>0</v>
      </c>
      <c r="M34" s="93">
        <f t="shared" si="30"/>
        <v>0</v>
      </c>
      <c r="N34" s="23"/>
      <c r="O34" s="81" t="s">
        <v>409</v>
      </c>
      <c r="P34" s="23"/>
      <c r="Q34" s="296"/>
      <c r="R34" s="296"/>
      <c r="S34" s="296"/>
      <c r="T34" s="296"/>
      <c r="U34" s="296"/>
      <c r="V34" s="30"/>
      <c r="W34" s="30"/>
      <c r="X34" s="30"/>
    </row>
    <row r="35" spans="1:24" s="3" customFormat="1" x14ac:dyDescent="0.2">
      <c r="A35" s="415" t="s">
        <v>361</v>
      </c>
      <c r="B35" s="416">
        <f>VLOOKUP($A$4,pohjatiedot!$B$3:$CB$296,27)</f>
        <v>824.46600999999998</v>
      </c>
      <c r="C35" s="417">
        <f>VLOOKUP($A$4,pohjatiedot!$B$3:$CB$296,65)</f>
        <v>193.92874</v>
      </c>
      <c r="D35" s="417">
        <f>D31+D32+D33+D34</f>
        <v>-446.27390142896115</v>
      </c>
      <c r="E35" s="418">
        <f t="shared" ref="E35:M35" si="31">E31+E32+E33+E34</f>
        <v>-287.558565914469</v>
      </c>
      <c r="F35" s="418">
        <f t="shared" si="31"/>
        <v>-277.96230858182878</v>
      </c>
      <c r="G35" s="418">
        <f t="shared" si="31"/>
        <v>-202.78992213867116</v>
      </c>
      <c r="H35" s="418">
        <f t="shared" si="31"/>
        <v>-77.658366439229439</v>
      </c>
      <c r="I35" s="418">
        <f t="shared" si="31"/>
        <v>-80.18209581616054</v>
      </c>
      <c r="J35" s="418">
        <f t="shared" si="31"/>
        <v>-83.356103630216126</v>
      </c>
      <c r="K35" s="418">
        <f t="shared" si="31"/>
        <v>-87.385755923955344</v>
      </c>
      <c r="L35" s="418">
        <f t="shared" si="31"/>
        <v>-92.215804634017445</v>
      </c>
      <c r="M35" s="419">
        <f t="shared" si="31"/>
        <v>-97.922659457220448</v>
      </c>
      <c r="N35" s="17"/>
      <c r="O35" s="17"/>
      <c r="P35" s="17"/>
      <c r="Q35" s="293"/>
      <c r="R35" s="293"/>
      <c r="S35" s="293"/>
      <c r="T35" s="293"/>
      <c r="U35" s="293"/>
      <c r="V35" s="15"/>
      <c r="W35" s="15"/>
      <c r="X35" s="15"/>
    </row>
    <row r="36" spans="1:24" ht="15" x14ac:dyDescent="0.25">
      <c r="A36" s="96" t="s">
        <v>339</v>
      </c>
      <c r="B36" s="59"/>
      <c r="C36" s="121"/>
      <c r="D36" s="144"/>
      <c r="E36" s="52"/>
      <c r="F36" s="52"/>
      <c r="G36" s="305"/>
      <c r="H36" s="52"/>
      <c r="I36" s="52"/>
      <c r="J36" s="52"/>
      <c r="K36" s="52"/>
      <c r="L36" s="52"/>
      <c r="M36" s="52"/>
      <c r="N36" s="16"/>
      <c r="O36" s="16"/>
      <c r="P36" s="16"/>
      <c r="Q36" s="296"/>
      <c r="R36" s="296"/>
      <c r="S36" s="296"/>
      <c r="T36" s="296"/>
      <c r="U36" s="296"/>
      <c r="V36" s="30"/>
      <c r="W36" s="30"/>
      <c r="X36" s="30"/>
    </row>
    <row r="37" spans="1:24" s="3" customFormat="1" x14ac:dyDescent="0.2">
      <c r="A37" s="365" t="s">
        <v>374</v>
      </c>
      <c r="B37" s="366">
        <f>VLOOKUP($A$4,pohjatiedot!$B$3:$CB$296,29)</f>
        <v>-3054.30782</v>
      </c>
      <c r="C37" s="367">
        <f>VLOOKUP($A$4,pohjatiedot!$B$3:$CB$296,67)</f>
        <v>-2860.3790800000002</v>
      </c>
      <c r="D37" s="367">
        <f>C37+D35</f>
        <v>-3306.6529814289615</v>
      </c>
      <c r="E37" s="368">
        <f t="shared" ref="E37:M37" si="32">D37+E35</f>
        <v>-3594.2115473434305</v>
      </c>
      <c r="F37" s="368">
        <f t="shared" si="32"/>
        <v>-3872.1738559252594</v>
      </c>
      <c r="G37" s="368">
        <f t="shared" si="32"/>
        <v>-4074.9637780639305</v>
      </c>
      <c r="H37" s="368">
        <f t="shared" si="32"/>
        <v>-4152.6221445031597</v>
      </c>
      <c r="I37" s="368">
        <f t="shared" si="32"/>
        <v>-4232.8042403193203</v>
      </c>
      <c r="J37" s="368">
        <f t="shared" si="32"/>
        <v>-4316.1603439495366</v>
      </c>
      <c r="K37" s="368">
        <f t="shared" si="32"/>
        <v>-4403.5460998734916</v>
      </c>
      <c r="L37" s="368">
        <f t="shared" si="32"/>
        <v>-4495.7619045075089</v>
      </c>
      <c r="M37" s="369">
        <f t="shared" si="32"/>
        <v>-4593.684563964729</v>
      </c>
      <c r="N37" s="17"/>
      <c r="O37" s="17"/>
      <c r="P37" s="17"/>
      <c r="Q37" s="293"/>
      <c r="R37" s="293"/>
      <c r="S37" s="293"/>
      <c r="T37" s="293"/>
      <c r="U37" s="293"/>
      <c r="V37" s="15"/>
      <c r="W37" s="15"/>
      <c r="X37" s="15"/>
    </row>
    <row r="38" spans="1:24" x14ac:dyDescent="0.2">
      <c r="A38" s="370" t="s">
        <v>359</v>
      </c>
      <c r="B38" s="371">
        <f>1000*B37/B8</f>
        <v>-2553.7690802675584</v>
      </c>
      <c r="C38" s="372">
        <f t="shared" ref="C38:M38" si="33">1000*C37/C8</f>
        <v>-2436.4387393526408</v>
      </c>
      <c r="D38" s="372">
        <f t="shared" si="33"/>
        <v>-2861.2027139172446</v>
      </c>
      <c r="E38" s="373">
        <f t="shared" si="33"/>
        <v>-3162.7802736592084</v>
      </c>
      <c r="F38" s="373">
        <f t="shared" si="33"/>
        <v>-3460.2049256405044</v>
      </c>
      <c r="G38" s="373">
        <f t="shared" si="33"/>
        <v>-3698.7647808688603</v>
      </c>
      <c r="H38" s="373">
        <f t="shared" si="33"/>
        <v>-3832.9689021358749</v>
      </c>
      <c r="I38" s="373">
        <f t="shared" si="33"/>
        <v>-3974.1577040314905</v>
      </c>
      <c r="J38" s="373">
        <f>1000*J37/J8</f>
        <v>-4123.3190105215017</v>
      </c>
      <c r="K38" s="373">
        <f t="shared" si="33"/>
        <v>-4276.3040724919338</v>
      </c>
      <c r="L38" s="373">
        <f t="shared" si="33"/>
        <v>-4437.9867348964699</v>
      </c>
      <c r="M38" s="374">
        <f t="shared" si="33"/>
        <v>-4609.5712502025026</v>
      </c>
      <c r="N38" s="23"/>
      <c r="O38" s="23"/>
      <c r="P38" s="23"/>
      <c r="Q38" s="296"/>
      <c r="R38" s="296"/>
      <c r="S38" s="296"/>
      <c r="T38" s="296"/>
      <c r="U38" s="296"/>
      <c r="V38" s="30"/>
      <c r="W38" s="30"/>
      <c r="X38" s="30"/>
    </row>
    <row r="39" spans="1:24" x14ac:dyDescent="0.2">
      <c r="A39" s="41"/>
      <c r="B39" s="39"/>
      <c r="C39" s="39"/>
      <c r="D39" s="212"/>
      <c r="E39" s="124"/>
      <c r="F39" s="124"/>
      <c r="G39" s="306"/>
      <c r="H39" s="124"/>
      <c r="I39" s="124"/>
      <c r="J39" s="124"/>
      <c r="K39" s="124"/>
      <c r="L39" s="124"/>
      <c r="M39" s="124"/>
      <c r="N39" s="23"/>
      <c r="O39" s="23"/>
      <c r="P39" s="23"/>
      <c r="Q39" s="296"/>
      <c r="R39" s="296"/>
      <c r="S39" s="296"/>
      <c r="T39" s="296"/>
      <c r="U39" s="296"/>
      <c r="V39" s="30"/>
      <c r="W39" s="30"/>
      <c r="X39" s="30"/>
    </row>
    <row r="40" spans="1:24" ht="15.75" x14ac:dyDescent="0.25">
      <c r="A40" s="42" t="s">
        <v>468</v>
      </c>
      <c r="B40" s="130"/>
      <c r="C40" s="40"/>
      <c r="D40" s="194"/>
      <c r="E40" s="40"/>
      <c r="F40" s="40"/>
      <c r="G40" s="307"/>
      <c r="H40" s="40"/>
      <c r="I40" s="40"/>
      <c r="J40" s="40"/>
      <c r="K40" s="40"/>
      <c r="L40" s="40"/>
      <c r="M40" s="40"/>
      <c r="N40" s="23"/>
      <c r="O40" s="23"/>
      <c r="P40" s="23"/>
      <c r="Q40" s="296"/>
      <c r="R40" s="296"/>
      <c r="S40" s="296"/>
      <c r="T40" s="296"/>
      <c r="U40" s="296"/>
      <c r="V40" s="30"/>
      <c r="W40" s="30"/>
      <c r="X40" s="30"/>
    </row>
    <row r="41" spans="1:24" x14ac:dyDescent="0.2">
      <c r="A41" s="219" t="s">
        <v>32</v>
      </c>
      <c r="B41" s="202">
        <f>B26</f>
        <v>834.14615000000003</v>
      </c>
      <c r="C41" s="224">
        <f>C26</f>
        <v>725.96662000000003</v>
      </c>
      <c r="D41" s="205">
        <f>D26</f>
        <v>68.33354857103879</v>
      </c>
      <c r="E41" s="205">
        <f t="shared" ref="E41:M41" si="34">E26</f>
        <v>227.048884085531</v>
      </c>
      <c r="F41" s="205">
        <f t="shared" si="34"/>
        <v>236.64514141817116</v>
      </c>
      <c r="G41" s="308">
        <f t="shared" si="34"/>
        <v>311.81752786132881</v>
      </c>
      <c r="H41" s="205">
        <f t="shared" si="34"/>
        <v>436.94908356077053</v>
      </c>
      <c r="I41" s="205">
        <f t="shared" si="34"/>
        <v>434.42535418383943</v>
      </c>
      <c r="J41" s="205">
        <f t="shared" si="34"/>
        <v>431.25134636978385</v>
      </c>
      <c r="K41" s="205">
        <f t="shared" si="34"/>
        <v>427.22169407604463</v>
      </c>
      <c r="L41" s="205">
        <f t="shared" si="34"/>
        <v>422.39164536598253</v>
      </c>
      <c r="M41" s="220">
        <f t="shared" si="34"/>
        <v>416.68479054277952</v>
      </c>
      <c r="N41" s="23"/>
      <c r="O41" s="23"/>
      <c r="P41" s="23"/>
      <c r="Q41" s="296"/>
      <c r="R41" s="296"/>
      <c r="S41" s="296"/>
      <c r="T41" s="296"/>
      <c r="U41" s="296"/>
      <c r="V41" s="30"/>
      <c r="W41" s="30"/>
      <c r="X41" s="30"/>
    </row>
    <row r="42" spans="1:24" x14ac:dyDescent="0.2">
      <c r="A42" s="221" t="s">
        <v>362</v>
      </c>
      <c r="B42" s="364">
        <f>VLOOKUP($A$4,pohjatiedot!$B$3:$CN$296,31)</f>
        <v>-359.97573</v>
      </c>
      <c r="C42" s="364">
        <f>VLOOKUP($A$4,pohjatiedot!$B$3:$CN$296,69)</f>
        <v>-1</v>
      </c>
      <c r="D42" s="92">
        <v>0</v>
      </c>
      <c r="E42" s="92">
        <f>D42</f>
        <v>0</v>
      </c>
      <c r="F42" s="92">
        <f t="shared" ref="F42:M42" si="35">E42</f>
        <v>0</v>
      </c>
      <c r="G42" s="92">
        <f t="shared" si="35"/>
        <v>0</v>
      </c>
      <c r="H42" s="92">
        <f t="shared" si="35"/>
        <v>0</v>
      </c>
      <c r="I42" s="92">
        <f t="shared" si="35"/>
        <v>0</v>
      </c>
      <c r="J42" s="92">
        <f t="shared" si="35"/>
        <v>0</v>
      </c>
      <c r="K42" s="92">
        <f t="shared" si="35"/>
        <v>0</v>
      </c>
      <c r="L42" s="92">
        <f t="shared" si="35"/>
        <v>0</v>
      </c>
      <c r="M42" s="93">
        <f t="shared" si="35"/>
        <v>0</v>
      </c>
      <c r="N42" s="23"/>
      <c r="O42" s="81" t="s">
        <v>407</v>
      </c>
      <c r="P42" s="23"/>
      <c r="Q42" s="296"/>
      <c r="R42" s="296"/>
      <c r="S42" s="296"/>
      <c r="T42" s="296"/>
      <c r="U42" s="296"/>
      <c r="V42" s="30"/>
      <c r="W42" s="30"/>
      <c r="X42" s="30"/>
    </row>
    <row r="43" spans="1:24" x14ac:dyDescent="0.2">
      <c r="A43" s="222" t="s">
        <v>364</v>
      </c>
      <c r="B43" s="223">
        <f>B29-B30</f>
        <v>0</v>
      </c>
      <c r="C43" s="223">
        <f>C29-C30</f>
        <v>-17.430429999999998</v>
      </c>
      <c r="D43" s="422">
        <f>D29-D30</f>
        <v>0</v>
      </c>
      <c r="E43" s="422">
        <f t="shared" ref="E43:M43" si="36">E29-E30</f>
        <v>0</v>
      </c>
      <c r="F43" s="422">
        <f t="shared" si="36"/>
        <v>0</v>
      </c>
      <c r="G43" s="422">
        <f t="shared" si="36"/>
        <v>0</v>
      </c>
      <c r="H43" s="422">
        <f t="shared" si="36"/>
        <v>0</v>
      </c>
      <c r="I43" s="422">
        <f t="shared" si="36"/>
        <v>0</v>
      </c>
      <c r="J43" s="422">
        <f t="shared" si="36"/>
        <v>0</v>
      </c>
      <c r="K43" s="422">
        <f t="shared" si="36"/>
        <v>0</v>
      </c>
      <c r="L43" s="422">
        <f t="shared" si="36"/>
        <v>0</v>
      </c>
      <c r="M43" s="423">
        <f t="shared" si="36"/>
        <v>0</v>
      </c>
      <c r="N43" s="23"/>
      <c r="O43" s="23"/>
      <c r="P43" s="23"/>
      <c r="Q43" s="296"/>
      <c r="R43" s="296"/>
      <c r="S43" s="296"/>
      <c r="T43" s="296"/>
      <c r="U43" s="296"/>
      <c r="V43" s="30"/>
      <c r="W43" s="30"/>
      <c r="X43" s="30"/>
    </row>
    <row r="44" spans="1:24" x14ac:dyDescent="0.2">
      <c r="A44" s="18" t="s">
        <v>423</v>
      </c>
      <c r="B44" s="53">
        <f>VLOOKUP($A$4,pohjatiedot!$B$3:$CN$296,30)</f>
        <v>846.30091000000004</v>
      </c>
      <c r="C44" s="53">
        <f>VLOOKUP($A$4,pohjatiedot!$B$3:$CN$296,68)</f>
        <v>708</v>
      </c>
      <c r="D44" s="203">
        <f>SUM(D41:D43)</f>
        <v>68.33354857103879</v>
      </c>
      <c r="E44" s="203">
        <f t="shared" ref="E44:M44" si="37">SUM(E41:E43)</f>
        <v>227.048884085531</v>
      </c>
      <c r="F44" s="203">
        <f t="shared" si="37"/>
        <v>236.64514141817116</v>
      </c>
      <c r="G44" s="309">
        <f t="shared" si="37"/>
        <v>311.81752786132881</v>
      </c>
      <c r="H44" s="203">
        <f t="shared" si="37"/>
        <v>436.94908356077053</v>
      </c>
      <c r="I44" s="203">
        <f t="shared" si="37"/>
        <v>434.42535418383943</v>
      </c>
      <c r="J44" s="203">
        <f t="shared" si="37"/>
        <v>431.25134636978385</v>
      </c>
      <c r="K44" s="203">
        <f t="shared" si="37"/>
        <v>427.22169407604463</v>
      </c>
      <c r="L44" s="203">
        <f t="shared" si="37"/>
        <v>422.39164536598253</v>
      </c>
      <c r="M44" s="204">
        <f t="shared" si="37"/>
        <v>416.68479054277952</v>
      </c>
      <c r="N44" s="23"/>
      <c r="O44" s="23"/>
      <c r="P44" s="23"/>
      <c r="Q44" s="296"/>
      <c r="R44" s="296"/>
      <c r="S44" s="296"/>
      <c r="T44" s="296"/>
      <c r="U44" s="296"/>
      <c r="V44" s="30"/>
      <c r="W44" s="30"/>
      <c r="X44" s="30"/>
    </row>
    <row r="45" spans="1:24" x14ac:dyDescent="0.2">
      <c r="A45" s="217" t="s">
        <v>365</v>
      </c>
      <c r="B45" s="420">
        <f>VLOOKUP($A$4,pohjatiedot!$B$3:$CB$296,32)</f>
        <v>-341.34726000000001</v>
      </c>
      <c r="C45" s="62">
        <f>VLOOKUP($A$4,pohjatiedot!$B$3:$CN$296,70)</f>
        <v>-269</v>
      </c>
      <c r="D45" s="247">
        <f>AVERAGE(B45:C45)</f>
        <v>-305.17363</v>
      </c>
      <c r="E45" s="241">
        <f>AVERAGE(C45:D45)</f>
        <v>-287.086815</v>
      </c>
      <c r="F45" s="241">
        <f t="shared" ref="F45:M47" si="38">AVERAGE(D45:E45)</f>
        <v>-296.1302225</v>
      </c>
      <c r="G45" s="241">
        <f t="shared" si="38"/>
        <v>-291.60851875000003</v>
      </c>
      <c r="H45" s="241">
        <f t="shared" si="38"/>
        <v>-293.86937062499999</v>
      </c>
      <c r="I45" s="241">
        <f t="shared" si="38"/>
        <v>-292.73894468750001</v>
      </c>
      <c r="J45" s="241">
        <f t="shared" si="38"/>
        <v>-293.30415765625003</v>
      </c>
      <c r="K45" s="241">
        <f t="shared" si="38"/>
        <v>-293.02155117187499</v>
      </c>
      <c r="L45" s="241">
        <f t="shared" si="38"/>
        <v>-293.16285441406251</v>
      </c>
      <c r="M45" s="242">
        <f t="shared" si="38"/>
        <v>-293.09220279296875</v>
      </c>
      <c r="N45" s="23"/>
      <c r="O45" s="81" t="s">
        <v>467</v>
      </c>
      <c r="P45" s="23"/>
      <c r="Q45" s="296"/>
      <c r="R45" s="296"/>
      <c r="S45" s="296"/>
      <c r="T45" s="296"/>
      <c r="U45" s="296"/>
      <c r="V45" s="30"/>
      <c r="W45" s="30"/>
      <c r="X45" s="30"/>
    </row>
    <row r="46" spans="1:24" x14ac:dyDescent="0.2">
      <c r="A46" s="186" t="s">
        <v>366</v>
      </c>
      <c r="B46" s="421">
        <f>VLOOKUP($A$4,pohjatiedot!$B$3:$CB$296,33)</f>
        <v>0</v>
      </c>
      <c r="C46" s="65">
        <f>VLOOKUP($A$4,pohjatiedot!$B$3:$CN$296,71)</f>
        <v>0</v>
      </c>
      <c r="D46" s="248">
        <f>AVERAGE(B46:C46)</f>
        <v>0</v>
      </c>
      <c r="E46" s="243">
        <f t="shared" ref="E46:E47" si="39">AVERAGE(C46:D46)</f>
        <v>0</v>
      </c>
      <c r="F46" s="243">
        <f t="shared" si="38"/>
        <v>0</v>
      </c>
      <c r="G46" s="243">
        <f t="shared" si="38"/>
        <v>0</v>
      </c>
      <c r="H46" s="243">
        <f t="shared" si="38"/>
        <v>0</v>
      </c>
      <c r="I46" s="243">
        <f t="shared" si="38"/>
        <v>0</v>
      </c>
      <c r="J46" s="243">
        <f t="shared" si="38"/>
        <v>0</v>
      </c>
      <c r="K46" s="243">
        <f t="shared" si="38"/>
        <v>0</v>
      </c>
      <c r="L46" s="243">
        <f t="shared" si="38"/>
        <v>0</v>
      </c>
      <c r="M46" s="244">
        <f t="shared" si="38"/>
        <v>0</v>
      </c>
      <c r="N46" s="23"/>
      <c r="O46" s="81" t="s">
        <v>467</v>
      </c>
      <c r="P46" s="23"/>
      <c r="Q46" s="296"/>
      <c r="R46" s="296"/>
      <c r="S46" s="296"/>
      <c r="T46" s="296"/>
      <c r="U46" s="296"/>
      <c r="V46" s="30"/>
      <c r="W46" s="30"/>
      <c r="X46" s="30"/>
    </row>
    <row r="47" spans="1:24" x14ac:dyDescent="0.2">
      <c r="A47" s="218" t="s">
        <v>367</v>
      </c>
      <c r="B47" s="127">
        <f>VLOOKUP($A$4,pohjatiedot!$B$3:$CB$296,34)</f>
        <v>58.194000000000003</v>
      </c>
      <c r="C47" s="128">
        <f>VLOOKUP($A$4,pohjatiedot!$B$3:$CN$296,72)</f>
        <v>264</v>
      </c>
      <c r="D47" s="509">
        <f>AVERAGE(B47:C47)</f>
        <v>161.09700000000001</v>
      </c>
      <c r="E47" s="245">
        <f t="shared" si="39"/>
        <v>212.54849999999999</v>
      </c>
      <c r="F47" s="245">
        <f t="shared" si="38"/>
        <v>186.82274999999998</v>
      </c>
      <c r="G47" s="245">
        <f t="shared" si="38"/>
        <v>199.68562499999999</v>
      </c>
      <c r="H47" s="245">
        <f t="shared" si="38"/>
        <v>193.2541875</v>
      </c>
      <c r="I47" s="245">
        <f t="shared" si="38"/>
        <v>196.46990625000001</v>
      </c>
      <c r="J47" s="245">
        <f t="shared" si="38"/>
        <v>194.862046875</v>
      </c>
      <c r="K47" s="245">
        <f t="shared" si="38"/>
        <v>195.66597656250002</v>
      </c>
      <c r="L47" s="245">
        <f t="shared" si="38"/>
        <v>195.26401171875</v>
      </c>
      <c r="M47" s="246">
        <f t="shared" si="38"/>
        <v>195.46499414062501</v>
      </c>
      <c r="N47" s="23"/>
      <c r="O47" s="81" t="s">
        <v>467</v>
      </c>
      <c r="P47" s="23"/>
      <c r="Q47" s="296"/>
      <c r="R47" s="296"/>
      <c r="S47" s="296"/>
      <c r="T47" s="296"/>
      <c r="U47" s="296"/>
      <c r="V47" s="30"/>
      <c r="W47" s="30"/>
      <c r="X47" s="30"/>
    </row>
    <row r="48" spans="1:24" s="3" customFormat="1" x14ac:dyDescent="0.2">
      <c r="A48" s="18" t="s">
        <v>368</v>
      </c>
      <c r="B48" s="53">
        <f>SUM(B45:B47)</f>
        <v>-283.15325999999999</v>
      </c>
      <c r="C48" s="53">
        <f>C47+C46+C45</f>
        <v>-5</v>
      </c>
      <c r="D48" s="78">
        <f t="shared" ref="D48:M48" si="40">D47+D46+D45</f>
        <v>-144.07662999999999</v>
      </c>
      <c r="E48" s="54">
        <f t="shared" si="40"/>
        <v>-74.538315000000011</v>
      </c>
      <c r="F48" s="54">
        <f t="shared" si="40"/>
        <v>-109.30747250000002</v>
      </c>
      <c r="G48" s="54">
        <f t="shared" si="40"/>
        <v>-91.922893750000043</v>
      </c>
      <c r="H48" s="54">
        <f t="shared" si="40"/>
        <v>-100.61518312499999</v>
      </c>
      <c r="I48" s="54">
        <f t="shared" si="40"/>
        <v>-96.269038437500001</v>
      </c>
      <c r="J48" s="54">
        <f t="shared" si="40"/>
        <v>-98.442110781250022</v>
      </c>
      <c r="K48" s="54">
        <f t="shared" si="40"/>
        <v>-97.355574609374969</v>
      </c>
      <c r="L48" s="54">
        <f t="shared" si="40"/>
        <v>-97.89884269531251</v>
      </c>
      <c r="M48" s="55">
        <f t="shared" si="40"/>
        <v>-97.627208652343739</v>
      </c>
      <c r="N48" s="17"/>
      <c r="O48" s="17"/>
      <c r="P48" s="17"/>
      <c r="Q48" s="293"/>
      <c r="R48" s="293"/>
      <c r="S48" s="293"/>
      <c r="T48" s="293"/>
      <c r="U48" s="293"/>
      <c r="V48" s="15"/>
      <c r="W48" s="15"/>
      <c r="X48" s="15"/>
    </row>
    <row r="49" spans="1:24" s="3" customFormat="1" x14ac:dyDescent="0.2">
      <c r="A49" s="24" t="s">
        <v>359</v>
      </c>
      <c r="B49" s="68">
        <f t="shared" ref="B49:M49" si="41">1000*B48/B8</f>
        <v>-236.75021739130435</v>
      </c>
      <c r="C49" s="68">
        <f t="shared" si="41"/>
        <v>-4.2589437819420786</v>
      </c>
      <c r="D49" s="80">
        <f t="shared" si="41"/>
        <v>-124.66758594967698</v>
      </c>
      <c r="E49" s="69">
        <f t="shared" si="41"/>
        <v>-65.591106480096769</v>
      </c>
      <c r="F49" s="69">
        <f t="shared" si="41"/>
        <v>-97.678014682901306</v>
      </c>
      <c r="G49" s="304">
        <f t="shared" si="41"/>
        <v>-83.436609618058867</v>
      </c>
      <c r="H49" s="69">
        <f t="shared" si="41"/>
        <v>-92.870204555288964</v>
      </c>
      <c r="I49" s="69">
        <f t="shared" si="41"/>
        <v>-90.386495345514035</v>
      </c>
      <c r="J49" s="69">
        <f t="shared" si="41"/>
        <v>-94.043824713138974</v>
      </c>
      <c r="K49" s="69">
        <f t="shared" si="41"/>
        <v>-94.542450729384413</v>
      </c>
      <c r="L49" s="69">
        <f t="shared" si="41"/>
        <v>-96.640741763460412</v>
      </c>
      <c r="M49" s="70">
        <f t="shared" si="41"/>
        <v>-97.964840200730009</v>
      </c>
      <c r="N49" s="17"/>
      <c r="O49" s="17"/>
      <c r="P49" s="17"/>
      <c r="Q49" s="293"/>
      <c r="R49" s="293"/>
      <c r="S49" s="293"/>
      <c r="T49" s="293"/>
      <c r="U49" s="293"/>
      <c r="V49" s="15"/>
      <c r="W49" s="15"/>
      <c r="X49" s="15"/>
    </row>
    <row r="50" spans="1:24" s="5" customFormat="1" hidden="1" x14ac:dyDescent="0.2">
      <c r="A50" s="206" t="s">
        <v>33</v>
      </c>
      <c r="B50" s="62">
        <f t="shared" ref="B50:M50" si="42">B26+B48</f>
        <v>550.99288999999999</v>
      </c>
      <c r="C50" s="62">
        <f t="shared" si="42"/>
        <v>720.96662000000003</v>
      </c>
      <c r="D50" s="63">
        <f t="shared" si="42"/>
        <v>-75.743081428961204</v>
      </c>
      <c r="E50" s="63">
        <f t="shared" si="42"/>
        <v>152.51056908553099</v>
      </c>
      <c r="F50" s="63">
        <f t="shared" si="42"/>
        <v>127.33766891817115</v>
      </c>
      <c r="G50" s="310">
        <f t="shared" si="42"/>
        <v>219.89463411132877</v>
      </c>
      <c r="H50" s="63">
        <f t="shared" si="42"/>
        <v>336.33390043577054</v>
      </c>
      <c r="I50" s="63">
        <f t="shared" si="42"/>
        <v>338.15631574633943</v>
      </c>
      <c r="J50" s="63">
        <f t="shared" si="42"/>
        <v>332.80923558853385</v>
      </c>
      <c r="K50" s="63">
        <f t="shared" si="42"/>
        <v>329.86611946666966</v>
      </c>
      <c r="L50" s="63">
        <f t="shared" si="42"/>
        <v>324.49280267067002</v>
      </c>
      <c r="M50" s="64">
        <f t="shared" si="42"/>
        <v>319.05758189043581</v>
      </c>
      <c r="O50" s="207"/>
      <c r="P50" s="114"/>
      <c r="Q50" s="234"/>
      <c r="R50" s="234"/>
      <c r="S50" s="234"/>
      <c r="T50" s="234"/>
      <c r="U50" s="234"/>
      <c r="V50" s="114"/>
      <c r="W50" s="114"/>
      <c r="X50" s="114"/>
    </row>
    <row r="51" spans="1:24" hidden="1" x14ac:dyDescent="0.2">
      <c r="A51" s="208" t="s">
        <v>359</v>
      </c>
      <c r="B51" s="191">
        <f t="shared" ref="B51:M51" si="43">1000*B50/B8</f>
        <v>460.69639632107027</v>
      </c>
      <c r="C51" s="191">
        <f t="shared" si="43"/>
        <v>614.11126064735947</v>
      </c>
      <c r="D51" s="192">
        <f t="shared" si="43"/>
        <v>-65.539477944052422</v>
      </c>
      <c r="E51" s="192">
        <f t="shared" si="43"/>
        <v>134.2039590810339</v>
      </c>
      <c r="F51" s="192">
        <f t="shared" si="43"/>
        <v>113.78993960614672</v>
      </c>
      <c r="G51" s="311">
        <f t="shared" si="43"/>
        <v>199.59405100269507</v>
      </c>
      <c r="H51" s="192">
        <f t="shared" si="43"/>
        <v>310.4441811087566</v>
      </c>
      <c r="I51" s="192">
        <f t="shared" si="43"/>
        <v>317.49319153224963</v>
      </c>
      <c r="J51" s="192">
        <f t="shared" si="43"/>
        <v>317.93968217677849</v>
      </c>
      <c r="K51" s="192">
        <f t="shared" si="43"/>
        <v>320.33452087465497</v>
      </c>
      <c r="L51" s="192">
        <f t="shared" si="43"/>
        <v>320.32273603678919</v>
      </c>
      <c r="M51" s="193">
        <f t="shared" si="43"/>
        <v>320.16100282077969</v>
      </c>
      <c r="N51" s="16"/>
      <c r="O51" s="16"/>
      <c r="P51" s="16"/>
      <c r="Q51" s="296"/>
      <c r="R51" s="296"/>
      <c r="S51" s="296"/>
      <c r="T51" s="296"/>
      <c r="U51" s="296"/>
      <c r="V51" s="30"/>
      <c r="W51" s="30"/>
      <c r="X51" s="30"/>
    </row>
    <row r="52" spans="1:24" x14ac:dyDescent="0.2">
      <c r="A52" s="380" t="s">
        <v>424</v>
      </c>
      <c r="B52" s="496"/>
      <c r="C52" s="497"/>
      <c r="D52" s="498"/>
      <c r="E52" s="499"/>
      <c r="F52" s="499"/>
      <c r="G52" s="499"/>
      <c r="H52" s="499"/>
      <c r="I52" s="499"/>
      <c r="J52" s="499"/>
      <c r="K52" s="499"/>
      <c r="L52" s="499"/>
      <c r="M52" s="500"/>
      <c r="N52" s="16"/>
      <c r="P52" s="16"/>
      <c r="Q52" s="296"/>
      <c r="R52" s="296"/>
      <c r="S52" s="296"/>
      <c r="T52" s="296"/>
      <c r="U52" s="296"/>
      <c r="V52" s="30"/>
      <c r="W52" s="30"/>
      <c r="X52" s="30"/>
    </row>
    <row r="53" spans="1:24" x14ac:dyDescent="0.2">
      <c r="A53" s="501" t="s">
        <v>370</v>
      </c>
      <c r="B53" s="416">
        <f>B44+B48</f>
        <v>563.14765000000011</v>
      </c>
      <c r="C53" s="416">
        <f>C44+C48</f>
        <v>703</v>
      </c>
      <c r="D53" s="418">
        <f>D44+D48</f>
        <v>-75.743081428961204</v>
      </c>
      <c r="E53" s="418">
        <f t="shared" ref="E53:M53" si="44">E44+E48</f>
        <v>152.51056908553099</v>
      </c>
      <c r="F53" s="418">
        <f t="shared" si="44"/>
        <v>127.33766891817115</v>
      </c>
      <c r="G53" s="418">
        <f t="shared" si="44"/>
        <v>219.89463411132877</v>
      </c>
      <c r="H53" s="418">
        <f t="shared" si="44"/>
        <v>336.33390043577054</v>
      </c>
      <c r="I53" s="418">
        <f t="shared" si="44"/>
        <v>338.15631574633943</v>
      </c>
      <c r="J53" s="418">
        <f t="shared" si="44"/>
        <v>332.80923558853385</v>
      </c>
      <c r="K53" s="418">
        <f t="shared" si="44"/>
        <v>329.86611946666966</v>
      </c>
      <c r="L53" s="418">
        <f t="shared" si="44"/>
        <v>324.49280267067002</v>
      </c>
      <c r="M53" s="419">
        <f t="shared" si="44"/>
        <v>319.05758189043581</v>
      </c>
      <c r="N53" s="16"/>
      <c r="O53" s="112"/>
      <c r="P53" s="16"/>
      <c r="Q53" s="296"/>
      <c r="R53" s="296"/>
      <c r="S53" s="296"/>
      <c r="T53" s="296"/>
      <c r="U53" s="296"/>
      <c r="V53" s="30"/>
      <c r="W53" s="30"/>
      <c r="X53" s="30"/>
    </row>
    <row r="54" spans="1:24" ht="12" x14ac:dyDescent="0.2">
      <c r="A54" s="502" t="s">
        <v>420</v>
      </c>
      <c r="B54" s="503"/>
      <c r="C54" s="366"/>
      <c r="D54" s="367"/>
      <c r="E54" s="368"/>
      <c r="F54" s="368"/>
      <c r="G54" s="368"/>
      <c r="H54" s="368"/>
      <c r="I54" s="368"/>
      <c r="J54" s="368"/>
      <c r="K54" s="368"/>
      <c r="L54" s="368"/>
      <c r="M54" s="369"/>
      <c r="N54" s="37"/>
      <c r="O54" s="112"/>
      <c r="P54" s="16"/>
      <c r="Q54" s="296"/>
      <c r="R54" s="296"/>
      <c r="S54" s="296"/>
      <c r="T54" s="296"/>
      <c r="U54" s="296"/>
      <c r="V54" s="30"/>
      <c r="W54" s="30"/>
      <c r="X54" s="30"/>
    </row>
    <row r="55" spans="1:24" x14ac:dyDescent="0.2">
      <c r="A55" s="543" t="s">
        <v>474</v>
      </c>
      <c r="B55" s="504"/>
      <c r="C55" s="504"/>
      <c r="D55" s="505"/>
      <c r="E55" s="506"/>
      <c r="F55" s="506"/>
      <c r="G55" s="506"/>
      <c r="H55" s="506"/>
      <c r="I55" s="506"/>
      <c r="J55" s="506"/>
      <c r="K55" s="506"/>
      <c r="L55" s="506"/>
      <c r="M55" s="507"/>
      <c r="N55" s="37"/>
      <c r="O55" s="112"/>
      <c r="P55" s="16"/>
      <c r="Q55" s="296"/>
      <c r="R55" s="296"/>
      <c r="S55" s="296"/>
      <c r="T55" s="296"/>
      <c r="U55" s="296"/>
      <c r="V55" s="30"/>
      <c r="W55" s="30"/>
      <c r="X55" s="30"/>
    </row>
    <row r="56" spans="1:24" x14ac:dyDescent="0.2">
      <c r="A56" s="508" t="s">
        <v>452</v>
      </c>
      <c r="B56" s="371"/>
      <c r="C56" s="417"/>
      <c r="D56" s="417">
        <f>D53-D59+D57</f>
        <v>-1350.7430814289612</v>
      </c>
      <c r="E56" s="418">
        <f t="shared" ref="E56:M56" si="45">E53-E59+E57</f>
        <v>-1115.0730275752271</v>
      </c>
      <c r="F56" s="418">
        <f t="shared" si="45"/>
        <v>-1107.2436937622053</v>
      </c>
      <c r="G56" s="418">
        <f t="shared" si="45"/>
        <v>-984.92897378224893</v>
      </c>
      <c r="H56" s="418">
        <f t="shared" si="45"/>
        <v>-828.69126602161282</v>
      </c>
      <c r="I56" s="418">
        <f t="shared" si="45"/>
        <v>-774.46847233130234</v>
      </c>
      <c r="J56" s="418">
        <f t="shared" si="45"/>
        <v>-727.86515711667437</v>
      </c>
      <c r="K56" s="418">
        <f t="shared" si="45"/>
        <v>-680.10880432601334</v>
      </c>
      <c r="L56" s="418">
        <f t="shared" si="45"/>
        <v>-635.74749613460426</v>
      </c>
      <c r="M56" s="419">
        <f t="shared" si="45"/>
        <v>-592.67427287932219</v>
      </c>
      <c r="N56" s="37"/>
      <c r="O56" s="112"/>
      <c r="P56" s="16"/>
      <c r="Q56" s="296"/>
      <c r="R56" s="296"/>
      <c r="S56" s="296"/>
      <c r="T56" s="296"/>
      <c r="U56" s="296"/>
      <c r="V56" s="30"/>
      <c r="W56" s="30"/>
      <c r="X56" s="30"/>
    </row>
    <row r="57" spans="1:24" x14ac:dyDescent="0.2">
      <c r="A57" s="290" t="s">
        <v>390</v>
      </c>
      <c r="B57" s="53">
        <f>VLOOKUP($A$4,pohjatiedot!$B$3:$CB$296,38)</f>
        <v>106.30436999999999</v>
      </c>
      <c r="C57" s="53">
        <f>VLOOKUP($A$4,pohjatiedot!$B$3:$CB$296,76)</f>
        <v>36</v>
      </c>
      <c r="D57" s="252">
        <v>0</v>
      </c>
      <c r="E57" s="253">
        <f t="shared" ref="E57:M57" si="46">D57</f>
        <v>0</v>
      </c>
      <c r="F57" s="253">
        <f t="shared" si="46"/>
        <v>0</v>
      </c>
      <c r="G57" s="253">
        <f t="shared" si="46"/>
        <v>0</v>
      </c>
      <c r="H57" s="253">
        <f t="shared" si="46"/>
        <v>0</v>
      </c>
      <c r="I57" s="253">
        <f t="shared" si="46"/>
        <v>0</v>
      </c>
      <c r="J57" s="253">
        <f t="shared" si="46"/>
        <v>0</v>
      </c>
      <c r="K57" s="253">
        <f t="shared" si="46"/>
        <v>0</v>
      </c>
      <c r="L57" s="253">
        <f t="shared" si="46"/>
        <v>0</v>
      </c>
      <c r="M57" s="254">
        <f t="shared" si="46"/>
        <v>0</v>
      </c>
      <c r="O57" s="25" t="s">
        <v>408</v>
      </c>
      <c r="P57" s="16"/>
      <c r="Q57" s="296"/>
      <c r="R57" s="76"/>
      <c r="S57" s="296"/>
      <c r="T57" s="296"/>
      <c r="U57" s="296"/>
      <c r="V57" s="30"/>
      <c r="W57" s="30"/>
      <c r="X57" s="30"/>
    </row>
    <row r="58" spans="1:24" s="5" customFormat="1" x14ac:dyDescent="0.2">
      <c r="A58" s="249" t="s">
        <v>372</v>
      </c>
      <c r="B58" s="53">
        <f>VLOOKUP($A$4,pohjatiedot!$B$3:$CB$296,39)</f>
        <v>-800</v>
      </c>
      <c r="C58" s="53">
        <f>VLOOKUP($A$4,pohjatiedot!$B$3:$CB$296,77)</f>
        <v>-500</v>
      </c>
      <c r="D58" s="250">
        <f>D60-D59</f>
        <v>-59.331226713935166</v>
      </c>
      <c r="E58" s="250">
        <f t="shared" ref="E58:M58" si="47">E60-E59</f>
        <v>-264.01787184305363</v>
      </c>
      <c r="F58" s="250">
        <f t="shared" si="47"/>
        <v>-238.06203829439141</v>
      </c>
      <c r="G58" s="285">
        <f t="shared" si="47"/>
        <v>-318.38753148955402</v>
      </c>
      <c r="H58" s="250">
        <f t="shared" si="47"/>
        <v>-419.20302703793209</v>
      </c>
      <c r="I58" s="250">
        <f t="shared" si="47"/>
        <v>-415.60316297946952</v>
      </c>
      <c r="J58" s="250">
        <f t="shared" si="47"/>
        <v>-405.59575130020141</v>
      </c>
      <c r="K58" s="250">
        <f t="shared" si="47"/>
        <v>-397.87699989927069</v>
      </c>
      <c r="L58" s="250">
        <f t="shared" si="47"/>
        <v>-388.06755228412999</v>
      </c>
      <c r="M58" s="251">
        <f t="shared" si="47"/>
        <v>-378.32500917836796</v>
      </c>
      <c r="N58" s="17"/>
      <c r="P58" s="36"/>
      <c r="Q58" s="234"/>
      <c r="R58" s="234"/>
      <c r="S58" s="234"/>
      <c r="T58" s="234"/>
      <c r="U58" s="234"/>
      <c r="V58" s="114"/>
      <c r="W58" s="114"/>
      <c r="X58" s="114"/>
    </row>
    <row r="59" spans="1:24" s="5" customFormat="1" x14ac:dyDescent="0.2">
      <c r="A59" s="209" t="s">
        <v>329</v>
      </c>
      <c r="B59" s="215"/>
      <c r="C59" s="56"/>
      <c r="D59" s="44">
        <f>IF(C61&gt;0,(C61*(1/$H$78)),IF(C61=0,0))</f>
        <v>1275</v>
      </c>
      <c r="E59" s="44">
        <f t="shared" ref="E59:M59" si="48">IF(D61&gt;0,(D61*(1/$H$78)),IF(D61=0,0))</f>
        <v>1267.5835966607581</v>
      </c>
      <c r="F59" s="44">
        <f t="shared" si="48"/>
        <v>1234.5813626803765</v>
      </c>
      <c r="G59" s="236">
        <f t="shared" si="48"/>
        <v>1204.8236078935777</v>
      </c>
      <c r="H59" s="44">
        <f>IF(G61&gt;0,(G61*(1/$H$78)),IF(G61=0,0))</f>
        <v>1165.0251664573834</v>
      </c>
      <c r="I59" s="44">
        <f t="shared" si="48"/>
        <v>1112.6247880776418</v>
      </c>
      <c r="J59" s="44">
        <f t="shared" si="48"/>
        <v>1060.6743927052082</v>
      </c>
      <c r="K59" s="44">
        <f t="shared" si="48"/>
        <v>1009.9749237926831</v>
      </c>
      <c r="L59" s="44">
        <f t="shared" si="48"/>
        <v>960.24029880527428</v>
      </c>
      <c r="M59" s="210">
        <f t="shared" si="48"/>
        <v>911.731854769758</v>
      </c>
      <c r="N59" s="36"/>
      <c r="O59" s="211"/>
      <c r="P59" s="36"/>
      <c r="Q59" s="234"/>
      <c r="R59" s="234"/>
      <c r="S59" s="234"/>
      <c r="T59" s="234"/>
      <c r="U59" s="234"/>
      <c r="V59" s="114"/>
      <c r="W59" s="114"/>
      <c r="X59" s="114"/>
    </row>
    <row r="60" spans="1:24" s="5" customFormat="1" x14ac:dyDescent="0.2">
      <c r="A60" s="209" t="s">
        <v>327</v>
      </c>
      <c r="B60" s="215"/>
      <c r="C60" s="59"/>
      <c r="D60" s="190">
        <f t="shared" ref="D60:M60" si="49">-(D56+(C63-D63))</f>
        <v>1215.6687732860648</v>
      </c>
      <c r="E60" s="190">
        <f t="shared" si="49"/>
        <v>1003.5657248177044</v>
      </c>
      <c r="F60" s="190">
        <f t="shared" si="49"/>
        <v>996.5193243859851</v>
      </c>
      <c r="G60" s="312">
        <f t="shared" si="49"/>
        <v>886.43607640402365</v>
      </c>
      <c r="H60" s="190">
        <f t="shared" si="49"/>
        <v>745.82213941945133</v>
      </c>
      <c r="I60" s="190">
        <f t="shared" si="49"/>
        <v>697.02162509817231</v>
      </c>
      <c r="J60" s="190">
        <f t="shared" si="49"/>
        <v>655.07864140500681</v>
      </c>
      <c r="K60" s="190">
        <f t="shared" si="49"/>
        <v>612.09792389341237</v>
      </c>
      <c r="L60" s="190">
        <f t="shared" si="49"/>
        <v>572.17274652114429</v>
      </c>
      <c r="M60" s="216">
        <f t="shared" si="49"/>
        <v>533.40684559139004</v>
      </c>
      <c r="N60" s="36"/>
      <c r="O60" s="36"/>
      <c r="P60" s="36"/>
      <c r="Q60" s="234"/>
      <c r="R60" s="234"/>
      <c r="S60" s="234"/>
      <c r="T60" s="234"/>
      <c r="U60" s="234"/>
      <c r="V60" s="114"/>
      <c r="W60" s="114"/>
      <c r="X60" s="114"/>
    </row>
    <row r="61" spans="1:24" s="3" customFormat="1" x14ac:dyDescent="0.2">
      <c r="A61" s="380" t="s">
        <v>21</v>
      </c>
      <c r="B61" s="366">
        <f>VLOOKUP($A$4,pohjatiedot!$B$3:$CB$296,37)</f>
        <v>10700</v>
      </c>
      <c r="C61" s="366">
        <f>VLOOKUP($A$4,pohjatiedot!$B$3:$CB$296,75)</f>
        <v>10200</v>
      </c>
      <c r="D61" s="381">
        <f>C61-D59+D60</f>
        <v>10140.668773286065</v>
      </c>
      <c r="E61" s="381">
        <f t="shared" ref="E61:M61" si="50">D61-E59+E60</f>
        <v>9876.6509014430121</v>
      </c>
      <c r="F61" s="381">
        <f t="shared" si="50"/>
        <v>9638.5888631486214</v>
      </c>
      <c r="G61" s="381">
        <f t="shared" si="50"/>
        <v>9320.2013316590674</v>
      </c>
      <c r="H61" s="381">
        <f t="shared" si="50"/>
        <v>8900.9983046211346</v>
      </c>
      <c r="I61" s="381">
        <f t="shared" si="50"/>
        <v>8485.3951416416658</v>
      </c>
      <c r="J61" s="381">
        <f t="shared" si="50"/>
        <v>8079.7993903414645</v>
      </c>
      <c r="K61" s="381">
        <f t="shared" si="50"/>
        <v>7681.9223904421942</v>
      </c>
      <c r="L61" s="381">
        <f t="shared" si="50"/>
        <v>7293.854838158064</v>
      </c>
      <c r="M61" s="382">
        <f t="shared" si="50"/>
        <v>6915.5298289796965</v>
      </c>
      <c r="N61" s="17"/>
      <c r="O61" s="17"/>
      <c r="P61" s="17"/>
      <c r="Q61" s="293"/>
      <c r="R61" s="293"/>
      <c r="S61" s="293"/>
      <c r="T61" s="293"/>
      <c r="U61" s="293"/>
      <c r="V61" s="15"/>
      <c r="W61" s="15"/>
      <c r="X61" s="15"/>
    </row>
    <row r="62" spans="1:24" s="4" customFormat="1" x14ac:dyDescent="0.2">
      <c r="A62" s="370" t="s">
        <v>359</v>
      </c>
      <c r="B62" s="383">
        <f t="shared" ref="B62:M62" si="51">1000*B61/B8</f>
        <v>8946.4882943143821</v>
      </c>
      <c r="C62" s="383">
        <f t="shared" si="51"/>
        <v>8688.2453151618392</v>
      </c>
      <c r="D62" s="384">
        <f t="shared" si="51"/>
        <v>8774.5854125047608</v>
      </c>
      <c r="E62" s="384">
        <f t="shared" si="51"/>
        <v>8691.1068615287622</v>
      </c>
      <c r="F62" s="384">
        <f t="shared" si="51"/>
        <v>8613.1185998933415</v>
      </c>
      <c r="G62" s="384">
        <f t="shared" si="51"/>
        <v>8459.7641386953146</v>
      </c>
      <c r="H62" s="384">
        <f t="shared" si="51"/>
        <v>8215.832915291383</v>
      </c>
      <c r="I62" s="384">
        <f t="shared" si="51"/>
        <v>7966.8930003157002</v>
      </c>
      <c r="J62" s="384">
        <f t="shared" si="51"/>
        <v>7718.802772027997</v>
      </c>
      <c r="K62" s="384">
        <f t="shared" si="51"/>
        <v>7459.9505166435465</v>
      </c>
      <c r="L62" s="384">
        <f t="shared" si="51"/>
        <v>7200.1212932453818</v>
      </c>
      <c r="M62" s="385">
        <f t="shared" si="51"/>
        <v>6939.4463280407772</v>
      </c>
      <c r="N62" s="38"/>
      <c r="O62" s="38"/>
      <c r="P62" s="38"/>
      <c r="Q62" s="538"/>
      <c r="R62" s="538"/>
      <c r="S62" s="538"/>
      <c r="T62" s="538"/>
      <c r="U62" s="538"/>
      <c r="V62" s="37"/>
      <c r="W62" s="37"/>
      <c r="X62" s="37"/>
    </row>
    <row r="63" spans="1:24" s="3" customFormat="1" x14ac:dyDescent="0.2">
      <c r="A63" s="19" t="s">
        <v>34</v>
      </c>
      <c r="B63" s="53">
        <f>VLOOKUP($A$4,pohjatiedot!$B$3:$CB$296,35)</f>
        <v>7034.9810199999993</v>
      </c>
      <c r="C63" s="53">
        <f>VLOOKUP($A$4,pohjatiedot!$B$3:$CB$296,73)</f>
        <v>6614</v>
      </c>
      <c r="D63" s="57">
        <f>IF(D56&gt;0,(C63+D56),IF(C63+(D56*$H$80)&lt;0,0,IF(C63+(D56*$H$80)&gt;0,C63+(D56*$H$80))))</f>
        <v>6478.9256918571036</v>
      </c>
      <c r="E63" s="57">
        <f t="shared" ref="E63:M63" si="52">IF(E56&gt;0,(D63+E56),IF(D63+(E56*$H$80)&lt;0,0,IF(D63+(E56*$H$80)&gt;0,D63+(E56*$H$80))))</f>
        <v>6367.418389099581</v>
      </c>
      <c r="F63" s="57">
        <f t="shared" si="52"/>
        <v>6256.6940197233607</v>
      </c>
      <c r="G63" s="300">
        <f t="shared" si="52"/>
        <v>6158.2011223451354</v>
      </c>
      <c r="H63" s="57">
        <f t="shared" si="52"/>
        <v>6075.331995742974</v>
      </c>
      <c r="I63" s="57">
        <f t="shared" si="52"/>
        <v>5997.8851485098439</v>
      </c>
      <c r="J63" s="57">
        <f t="shared" si="52"/>
        <v>5925.0986327981764</v>
      </c>
      <c r="K63" s="57">
        <f t="shared" si="52"/>
        <v>5857.0877523655754</v>
      </c>
      <c r="L63" s="57">
        <f t="shared" si="52"/>
        <v>5793.5130027521154</v>
      </c>
      <c r="M63" s="58">
        <f t="shared" si="52"/>
        <v>5734.2455754641833</v>
      </c>
      <c r="N63" s="17"/>
      <c r="O63" s="17"/>
      <c r="P63" s="17"/>
      <c r="Q63" s="293"/>
      <c r="R63" s="293"/>
      <c r="S63" s="293"/>
      <c r="T63" s="293"/>
      <c r="U63" s="293"/>
      <c r="V63" s="15"/>
      <c r="W63" s="15"/>
      <c r="X63" s="15"/>
    </row>
    <row r="64" spans="1:24" s="4" customFormat="1" x14ac:dyDescent="0.2">
      <c r="A64" s="24" t="s">
        <v>359</v>
      </c>
      <c r="B64" s="123">
        <f t="shared" ref="B64:M64" si="53">1000*B63/B8</f>
        <v>5882.0911538461532</v>
      </c>
      <c r="C64" s="123">
        <f t="shared" si="53"/>
        <v>5633.7308347529815</v>
      </c>
      <c r="D64" s="98">
        <f t="shared" si="53"/>
        <v>5606.1279719768972</v>
      </c>
      <c r="E64" s="98">
        <f t="shared" si="53"/>
        <v>5603.1051622612722</v>
      </c>
      <c r="F64" s="98">
        <f t="shared" si="53"/>
        <v>5591.0308448945161</v>
      </c>
      <c r="G64" s="313">
        <f t="shared" si="53"/>
        <v>5589.6785015495961</v>
      </c>
      <c r="H64" s="98">
        <f t="shared" si="53"/>
        <v>5607.6757767759818</v>
      </c>
      <c r="I64" s="98">
        <f t="shared" si="53"/>
        <v>5631.3829124892973</v>
      </c>
      <c r="J64" s="98">
        <f t="shared" si="53"/>
        <v>5660.3716926502857</v>
      </c>
      <c r="K64" s="98">
        <f t="shared" si="53"/>
        <v>5687.8451230709488</v>
      </c>
      <c r="L64" s="98">
        <f t="shared" si="53"/>
        <v>5719.0603952770243</v>
      </c>
      <c r="M64" s="99">
        <f t="shared" si="53"/>
        <v>5754.0767499819904</v>
      </c>
      <c r="N64" s="37"/>
      <c r="O64" s="37"/>
      <c r="P64" s="37"/>
      <c r="Q64" s="538"/>
      <c r="R64" s="538"/>
      <c r="S64" s="538"/>
      <c r="T64" s="538"/>
      <c r="U64" s="538"/>
      <c r="V64" s="37"/>
      <c r="W64" s="37"/>
      <c r="X64" s="37"/>
    </row>
    <row r="65" spans="1:24" s="3" customFormat="1" x14ac:dyDescent="0.2">
      <c r="A65" s="18" t="s">
        <v>343</v>
      </c>
      <c r="B65" s="53">
        <f>B61-B63</f>
        <v>3665.0189800000007</v>
      </c>
      <c r="C65" s="53">
        <f t="shared" ref="C65:M65" si="54">C61-C63</f>
        <v>3586</v>
      </c>
      <c r="D65" s="78">
        <f t="shared" si="54"/>
        <v>3661.743081428961</v>
      </c>
      <c r="E65" s="54">
        <f t="shared" si="54"/>
        <v>3509.2325123434312</v>
      </c>
      <c r="F65" s="54">
        <f t="shared" si="54"/>
        <v>3381.8948434252607</v>
      </c>
      <c r="G65" s="54">
        <f t="shared" si="54"/>
        <v>3162.0002093139319</v>
      </c>
      <c r="H65" s="54">
        <f t="shared" si="54"/>
        <v>2825.6663088781606</v>
      </c>
      <c r="I65" s="54">
        <f t="shared" si="54"/>
        <v>2487.5099931318218</v>
      </c>
      <c r="J65" s="54">
        <f t="shared" si="54"/>
        <v>2154.7007575432881</v>
      </c>
      <c r="K65" s="54">
        <f t="shared" si="54"/>
        <v>1824.8346380766188</v>
      </c>
      <c r="L65" s="54">
        <f t="shared" si="54"/>
        <v>1500.3418354059486</v>
      </c>
      <c r="M65" s="55">
        <f t="shared" si="54"/>
        <v>1181.2842535155132</v>
      </c>
      <c r="N65" s="17"/>
      <c r="O65" s="17"/>
      <c r="P65" s="17"/>
      <c r="Q65" s="293"/>
      <c r="R65" s="293"/>
      <c r="S65" s="293"/>
      <c r="T65" s="293"/>
      <c r="U65" s="293"/>
      <c r="V65" s="15"/>
      <c r="W65" s="15"/>
      <c r="X65" s="15"/>
    </row>
    <row r="66" spans="1:24" x14ac:dyDescent="0.2">
      <c r="A66" s="24" t="s">
        <v>359</v>
      </c>
      <c r="B66" s="127">
        <f t="shared" ref="B66:M66" si="55">1000*B65/B8</f>
        <v>3064.3971404682284</v>
      </c>
      <c r="C66" s="75">
        <f t="shared" si="55"/>
        <v>3054.5144804088586</v>
      </c>
      <c r="D66" s="424">
        <f t="shared" si="55"/>
        <v>3168.4574405278636</v>
      </c>
      <c r="E66" s="60">
        <f t="shared" si="55"/>
        <v>3088.0016992674905</v>
      </c>
      <c r="F66" s="60">
        <f t="shared" si="55"/>
        <v>3022.0877549988245</v>
      </c>
      <c r="G66" s="314">
        <f t="shared" si="55"/>
        <v>2870.0856371457171</v>
      </c>
      <c r="H66" s="60">
        <f t="shared" si="55"/>
        <v>2608.1571385154016</v>
      </c>
      <c r="I66" s="60">
        <f t="shared" si="55"/>
        <v>2335.5100878264038</v>
      </c>
      <c r="J66" s="60">
        <f t="shared" si="55"/>
        <v>2058.4310793777117</v>
      </c>
      <c r="K66" s="60">
        <f t="shared" si="55"/>
        <v>1772.1053935725972</v>
      </c>
      <c r="L66" s="60">
        <f t="shared" si="55"/>
        <v>1481.0608979683573</v>
      </c>
      <c r="M66" s="61">
        <f t="shared" si="55"/>
        <v>1185.3695780587871</v>
      </c>
      <c r="N66" s="14"/>
      <c r="O66" s="14"/>
      <c r="P66" s="14"/>
      <c r="Q66" s="296"/>
      <c r="R66" s="296"/>
      <c r="S66" s="296"/>
      <c r="T66" s="296"/>
      <c r="U66" s="296"/>
      <c r="V66" s="30"/>
      <c r="W66" s="30"/>
      <c r="X66" s="30"/>
    </row>
    <row r="67" spans="1:24" x14ac:dyDescent="0.2">
      <c r="A67" s="41"/>
      <c r="B67" s="195"/>
      <c r="C67" s="109"/>
      <c r="D67" s="109"/>
      <c r="E67" s="109"/>
      <c r="F67" s="109"/>
      <c r="G67" s="302"/>
      <c r="H67" s="109"/>
      <c r="I67" s="109"/>
      <c r="J67" s="109"/>
      <c r="K67" s="109"/>
      <c r="L67" s="109"/>
      <c r="M67" s="109"/>
      <c r="N67" s="14"/>
      <c r="O67" s="14"/>
      <c r="P67" s="14"/>
      <c r="Q67" s="296"/>
      <c r="R67" s="296"/>
      <c r="S67" s="296"/>
      <c r="T67" s="296"/>
      <c r="U67" s="296"/>
      <c r="V67" s="30"/>
      <c r="W67" s="30"/>
      <c r="X67" s="30"/>
    </row>
    <row r="68" spans="1:24" ht="15.75" x14ac:dyDescent="0.25">
      <c r="A68" s="213" t="s">
        <v>475</v>
      </c>
      <c r="B68" s="195"/>
      <c r="C68" s="109"/>
      <c r="D68" s="109"/>
      <c r="E68" s="109"/>
      <c r="F68" s="109"/>
      <c r="G68" s="302"/>
      <c r="H68" s="109"/>
      <c r="I68" s="109"/>
      <c r="J68" s="109"/>
      <c r="K68" s="109"/>
      <c r="L68" s="109"/>
      <c r="M68" s="109"/>
      <c r="N68" s="14"/>
      <c r="O68" s="428" t="s">
        <v>373</v>
      </c>
      <c r="P68" s="440"/>
      <c r="Q68" s="539"/>
      <c r="R68" s="539"/>
      <c r="S68" s="539"/>
      <c r="T68" s="296"/>
      <c r="U68" s="296"/>
      <c r="V68" s="30"/>
      <c r="W68" s="30"/>
      <c r="X68" s="30"/>
    </row>
    <row r="69" spans="1:24" ht="12" x14ac:dyDescent="0.2">
      <c r="A69" s="214" t="s">
        <v>369</v>
      </c>
      <c r="B69" s="129"/>
      <c r="C69" s="342" t="s">
        <v>458</v>
      </c>
      <c r="D69" s="389" t="s">
        <v>321</v>
      </c>
      <c r="E69" s="390"/>
      <c r="F69" s="390"/>
      <c r="G69" s="390"/>
      <c r="H69" s="391"/>
      <c r="I69" s="397" t="s">
        <v>455</v>
      </c>
      <c r="J69" s="392"/>
      <c r="K69" s="390"/>
      <c r="L69" s="390"/>
      <c r="M69" s="391"/>
      <c r="N69" s="14"/>
      <c r="O69" s="428" t="s">
        <v>410</v>
      </c>
      <c r="P69" s="441"/>
      <c r="Q69" s="539"/>
      <c r="R69" s="539"/>
      <c r="S69" s="539"/>
      <c r="T69" s="296"/>
      <c r="U69" s="296"/>
      <c r="V69" s="30"/>
      <c r="W69" s="30"/>
      <c r="X69" s="30"/>
    </row>
    <row r="70" spans="1:24" x14ac:dyDescent="0.2">
      <c r="A70" s="431" t="s">
        <v>4</v>
      </c>
      <c r="B70" s="72"/>
      <c r="C70" s="135">
        <f>((C12/B12)-1)*100</f>
        <v>-12.212450025104859</v>
      </c>
      <c r="D70" s="386">
        <v>1.3547930141797102</v>
      </c>
      <c r="E70" s="387">
        <v>-2.2736931213197491</v>
      </c>
      <c r="F70" s="387">
        <v>1.3790510240123075</v>
      </c>
      <c r="G70" s="387">
        <v>1.3610308411748244</v>
      </c>
      <c r="H70" s="388">
        <v>0.86901621856846145</v>
      </c>
      <c r="I70" s="398">
        <f t="shared" ref="I70:J71" si="56">H70</f>
        <v>0.86901621856846145</v>
      </c>
      <c r="J70" s="393">
        <f t="shared" si="56"/>
        <v>0.86901621856846145</v>
      </c>
      <c r="K70" s="393">
        <f t="shared" ref="K70:M70" si="57">J70</f>
        <v>0.86901621856846145</v>
      </c>
      <c r="L70" s="393">
        <f t="shared" si="57"/>
        <v>0.86901621856846145</v>
      </c>
      <c r="M70" s="394">
        <f t="shared" si="57"/>
        <v>0.86901621856846145</v>
      </c>
      <c r="N70" s="138"/>
      <c r="O70" s="1" t="s">
        <v>463</v>
      </c>
      <c r="P70" s="23"/>
      <c r="Q70" s="76"/>
      <c r="R70" s="296"/>
      <c r="S70" s="296"/>
      <c r="T70" s="296"/>
      <c r="U70" s="296"/>
      <c r="V70" s="30"/>
      <c r="W70" s="30"/>
      <c r="X70" s="30"/>
    </row>
    <row r="71" spans="1:24" ht="12.75" x14ac:dyDescent="0.2">
      <c r="A71" s="431" t="s">
        <v>5</v>
      </c>
      <c r="B71" s="72"/>
      <c r="C71" s="135">
        <f>((C13/B13)-1)*100</f>
        <v>-56.477417809097766</v>
      </c>
      <c r="D71" s="386">
        <v>2.2630636621215823</v>
      </c>
      <c r="E71" s="387">
        <v>6.669932062905481</v>
      </c>
      <c r="F71" s="387">
        <v>3.0249547950083207</v>
      </c>
      <c r="G71" s="387">
        <v>2.8415868786522549</v>
      </c>
      <c r="H71" s="388">
        <v>2.3537208141941171</v>
      </c>
      <c r="I71" s="399">
        <f t="shared" si="56"/>
        <v>2.3537208141941171</v>
      </c>
      <c r="J71" s="395">
        <f t="shared" si="56"/>
        <v>2.3537208141941171</v>
      </c>
      <c r="K71" s="395">
        <f t="shared" ref="K71:M71" si="58">J71</f>
        <v>2.3537208141941171</v>
      </c>
      <c r="L71" s="395">
        <f t="shared" si="58"/>
        <v>2.3537208141941171</v>
      </c>
      <c r="M71" s="396">
        <f t="shared" si="58"/>
        <v>2.3537208141941171</v>
      </c>
      <c r="N71" s="138"/>
      <c r="O71" s="1" t="s">
        <v>463</v>
      </c>
      <c r="P71" s="137"/>
      <c r="Q71" s="76"/>
      <c r="R71" s="296"/>
      <c r="S71" s="296"/>
      <c r="T71" s="296"/>
      <c r="U71" s="296"/>
      <c r="V71" s="30"/>
      <c r="W71" s="30"/>
      <c r="X71" s="30"/>
    </row>
    <row r="72" spans="1:24" ht="12.75" x14ac:dyDescent="0.2">
      <c r="A72" s="431" t="s">
        <v>15</v>
      </c>
      <c r="B72" s="72"/>
      <c r="C72" s="135">
        <f>((C15/B15)-1)*100</f>
        <v>-63.330301924138666</v>
      </c>
      <c r="D72" s="425">
        <f>((D15/C15)-1)*100</f>
        <v>2.6013542233195297</v>
      </c>
      <c r="E72" s="426">
        <f t="shared" ref="E72:M72" si="59">((E15/D15)-1)*100</f>
        <v>9.9605646120123801</v>
      </c>
      <c r="F72" s="426">
        <f t="shared" si="59"/>
        <v>3.5631561229674258</v>
      </c>
      <c r="G72" s="426">
        <f t="shared" si="59"/>
        <v>3.3155102417652405</v>
      </c>
      <c r="H72" s="426">
        <f t="shared" si="59"/>
        <v>2.8199815188905353</v>
      </c>
      <c r="I72" s="426">
        <f t="shared" si="59"/>
        <v>2.8111344208622491</v>
      </c>
      <c r="J72" s="426">
        <f t="shared" si="59"/>
        <v>2.8024938072118921</v>
      </c>
      <c r="K72" s="426">
        <f t="shared" si="59"/>
        <v>2.7940534232070435</v>
      </c>
      <c r="L72" s="426">
        <f t="shared" si="59"/>
        <v>2.7858072588956118</v>
      </c>
      <c r="M72" s="427">
        <f t="shared" si="59"/>
        <v>2.7777495372320882</v>
      </c>
      <c r="N72" s="138"/>
      <c r="O72" s="510" t="s">
        <v>473</v>
      </c>
      <c r="P72" s="137"/>
      <c r="Q72" s="76"/>
      <c r="R72" s="296"/>
      <c r="S72" s="296"/>
      <c r="T72" s="296"/>
      <c r="U72" s="296"/>
      <c r="V72" s="30"/>
      <c r="W72" s="30"/>
      <c r="X72" s="30"/>
    </row>
    <row r="73" spans="1:24" x14ac:dyDescent="0.2">
      <c r="A73" s="432" t="s">
        <v>13</v>
      </c>
      <c r="B73" s="72"/>
      <c r="C73" s="135">
        <f>((C16/B16)-1)*100</f>
        <v>-45.283196809309715</v>
      </c>
      <c r="D73" s="403">
        <v>-5.5045253684582667</v>
      </c>
      <c r="E73" s="404">
        <v>5.2308322243832537</v>
      </c>
      <c r="F73" s="404">
        <v>4.6108949416342417</v>
      </c>
      <c r="G73" s="404">
        <v>3.7753394085921514</v>
      </c>
      <c r="H73" s="405">
        <v>4.1039426523297493</v>
      </c>
      <c r="I73" s="407">
        <v>2.5</v>
      </c>
      <c r="J73" s="392">
        <f t="shared" ref="J73:M76" si="60">I73</f>
        <v>2.5</v>
      </c>
      <c r="K73" s="392">
        <f t="shared" si="60"/>
        <v>2.5</v>
      </c>
      <c r="L73" s="392">
        <f t="shared" si="60"/>
        <v>2.5</v>
      </c>
      <c r="M73" s="408">
        <f t="shared" si="60"/>
        <v>2.5</v>
      </c>
      <c r="N73" s="138"/>
      <c r="O73" s="1" t="s">
        <v>464</v>
      </c>
      <c r="P73" s="23"/>
      <c r="Q73" s="14"/>
      <c r="R73" s="296"/>
      <c r="S73" s="296"/>
      <c r="T73" s="296"/>
      <c r="U73" s="296"/>
      <c r="V73" s="30"/>
      <c r="W73" s="30"/>
      <c r="X73" s="30"/>
    </row>
    <row r="74" spans="1:24" x14ac:dyDescent="0.2">
      <c r="A74" s="432" t="s">
        <v>358</v>
      </c>
      <c r="B74" s="72"/>
      <c r="C74" s="135">
        <f>((C17/B17)-1)*100</f>
        <v>-43.952722210836605</v>
      </c>
      <c r="D74" s="386">
        <v>-15.15345269945313</v>
      </c>
      <c r="E74" s="387">
        <v>0.97142857142857131</v>
      </c>
      <c r="F74" s="387">
        <v>4.6972269383135252</v>
      </c>
      <c r="G74" s="387">
        <v>5.9459459459459465</v>
      </c>
      <c r="H74" s="402">
        <v>3.5204081632653059</v>
      </c>
      <c r="I74" s="398">
        <v>2.5</v>
      </c>
      <c r="J74" s="393">
        <f t="shared" si="60"/>
        <v>2.5</v>
      </c>
      <c r="K74" s="393">
        <f t="shared" si="60"/>
        <v>2.5</v>
      </c>
      <c r="L74" s="393">
        <f t="shared" si="60"/>
        <v>2.5</v>
      </c>
      <c r="M74" s="394">
        <f t="shared" si="60"/>
        <v>2.5</v>
      </c>
      <c r="N74" s="138"/>
      <c r="O74" s="1" t="s">
        <v>464</v>
      </c>
      <c r="P74" s="23"/>
      <c r="Q74" s="76"/>
      <c r="R74" s="296"/>
      <c r="S74" s="296"/>
      <c r="T74" s="296"/>
      <c r="U74" s="296"/>
      <c r="V74" s="30"/>
      <c r="W74" s="30"/>
      <c r="X74" s="30"/>
    </row>
    <row r="75" spans="1:24" x14ac:dyDescent="0.2">
      <c r="A75" s="432" t="s">
        <v>2</v>
      </c>
      <c r="B75" s="72"/>
      <c r="C75" s="135">
        <f>((C18/B18)-1)*100</f>
        <v>5.8349862813236397</v>
      </c>
      <c r="D75" s="386">
        <v>8.5474354948914506</v>
      </c>
      <c r="E75" s="387">
        <v>1.6421052631578947</v>
      </c>
      <c r="F75" s="387">
        <v>2.4440762220381109</v>
      </c>
      <c r="G75" s="387">
        <v>2.6688232915487262</v>
      </c>
      <c r="H75" s="402">
        <v>2.6388341866876721</v>
      </c>
      <c r="I75" s="398">
        <v>2.5</v>
      </c>
      <c r="J75" s="393">
        <f t="shared" si="60"/>
        <v>2.5</v>
      </c>
      <c r="K75" s="393">
        <f t="shared" si="60"/>
        <v>2.5</v>
      </c>
      <c r="L75" s="393">
        <f t="shared" si="60"/>
        <v>2.5</v>
      </c>
      <c r="M75" s="394">
        <f t="shared" si="60"/>
        <v>2.5</v>
      </c>
      <c r="N75" s="138"/>
      <c r="O75" s="1" t="s">
        <v>464</v>
      </c>
      <c r="P75" s="23"/>
      <c r="Q75" s="76"/>
      <c r="R75" s="296"/>
      <c r="S75" s="296"/>
      <c r="T75" s="296"/>
      <c r="U75" s="296"/>
      <c r="V75" s="30"/>
      <c r="W75" s="30"/>
      <c r="X75" s="30"/>
    </row>
    <row r="76" spans="1:24" x14ac:dyDescent="0.2">
      <c r="A76" s="433" t="s">
        <v>325</v>
      </c>
      <c r="B76" s="73"/>
      <c r="C76" s="136">
        <f>((C20/B20)-1)*100</f>
        <v>-80.486898861204438</v>
      </c>
      <c r="D76" s="400">
        <f>((D20/C20)-1)*100</f>
        <v>-43.650548035634444</v>
      </c>
      <c r="E76" s="401">
        <f t="shared" ref="E76:H76" si="61">((E20/D20)-1)*100</f>
        <v>72.679028440222027</v>
      </c>
      <c r="F76" s="401">
        <f t="shared" si="61"/>
        <v>0.6553045905938637</v>
      </c>
      <c r="G76" s="401">
        <f t="shared" si="61"/>
        <v>7.0790913469702677</v>
      </c>
      <c r="H76" s="406">
        <f t="shared" si="61"/>
        <v>10.168804369272433</v>
      </c>
      <c r="I76" s="399">
        <v>1.5</v>
      </c>
      <c r="J76" s="395">
        <f t="shared" si="60"/>
        <v>1.5</v>
      </c>
      <c r="K76" s="395">
        <f t="shared" si="60"/>
        <v>1.5</v>
      </c>
      <c r="L76" s="395">
        <f t="shared" si="60"/>
        <v>1.5</v>
      </c>
      <c r="M76" s="396">
        <f t="shared" si="60"/>
        <v>1.5</v>
      </c>
      <c r="N76" s="138"/>
      <c r="O76" s="81" t="s">
        <v>465</v>
      </c>
      <c r="P76" s="23"/>
      <c r="Q76" s="76"/>
      <c r="R76" s="296"/>
      <c r="S76" s="296"/>
      <c r="T76" s="296"/>
      <c r="U76" s="296"/>
      <c r="V76" s="30"/>
      <c r="W76" s="30"/>
      <c r="X76" s="30"/>
    </row>
    <row r="77" spans="1:24" ht="15.75" x14ac:dyDescent="0.25">
      <c r="A77" s="87" t="s">
        <v>328</v>
      </c>
      <c r="B77" s="131"/>
      <c r="C77" s="86"/>
      <c r="D77" s="113"/>
      <c r="E77" s="258"/>
      <c r="F77" s="86"/>
      <c r="G77" s="86"/>
      <c r="H77" s="86"/>
      <c r="I77" s="86"/>
      <c r="J77" s="86"/>
      <c r="K77" s="86"/>
      <c r="L77" s="86"/>
      <c r="M77" s="86"/>
      <c r="N77" s="14"/>
      <c r="O77" s="14"/>
      <c r="P77" s="14"/>
      <c r="Q77" s="296"/>
      <c r="R77" s="296"/>
      <c r="S77" s="296"/>
      <c r="T77" s="296"/>
      <c r="U77" s="296"/>
      <c r="V77" s="30"/>
      <c r="W77" s="30"/>
      <c r="X77" s="30"/>
    </row>
    <row r="78" spans="1:24" s="5" customFormat="1" ht="12.75" x14ac:dyDescent="0.2">
      <c r="A78" s="231" t="s">
        <v>356</v>
      </c>
      <c r="B78" s="232"/>
      <c r="C78" s="232"/>
      <c r="D78" s="232"/>
      <c r="E78" s="183"/>
      <c r="H78" s="238">
        <v>8</v>
      </c>
      <c r="I78" s="233" t="s">
        <v>348</v>
      </c>
      <c r="J78" s="233"/>
      <c r="K78" s="233"/>
      <c r="L78" s="233"/>
      <c r="M78" s="233"/>
      <c r="N78" s="234"/>
      <c r="O78" s="234"/>
      <c r="P78" s="234"/>
      <c r="Q78" s="234"/>
      <c r="R78" s="234"/>
      <c r="S78" s="234"/>
      <c r="T78" s="234"/>
      <c r="U78" s="234"/>
      <c r="V78" s="114"/>
      <c r="W78" s="114"/>
      <c r="X78" s="114"/>
    </row>
    <row r="79" spans="1:24" s="5" customFormat="1" ht="12.75" x14ac:dyDescent="0.2">
      <c r="A79" s="231" t="s">
        <v>357</v>
      </c>
      <c r="B79" s="232"/>
      <c r="C79" s="232"/>
      <c r="D79" s="232"/>
      <c r="E79" s="183"/>
      <c r="H79" s="239">
        <v>3</v>
      </c>
      <c r="I79" s="233" t="s">
        <v>347</v>
      </c>
      <c r="J79" s="233"/>
      <c r="K79" s="233"/>
      <c r="M79" s="233"/>
      <c r="N79" s="234"/>
      <c r="O79" s="234"/>
      <c r="P79" s="234"/>
      <c r="Q79" s="234"/>
      <c r="R79" s="234"/>
      <c r="S79" s="234"/>
      <c r="T79" s="234"/>
      <c r="U79" s="234"/>
      <c r="V79" s="114"/>
      <c r="W79" s="114"/>
      <c r="X79" s="114"/>
    </row>
    <row r="80" spans="1:24" s="5" customFormat="1" ht="12.75" x14ac:dyDescent="0.2">
      <c r="A80" s="235" t="s">
        <v>476</v>
      </c>
      <c r="B80" s="236"/>
      <c r="C80" s="236"/>
      <c r="D80" s="236"/>
      <c r="E80" s="236"/>
      <c r="H80" s="240">
        <v>0.1</v>
      </c>
      <c r="I80" s="44" t="s">
        <v>371</v>
      </c>
      <c r="J80" s="44"/>
      <c r="K80" s="44"/>
      <c r="L80" s="44"/>
      <c r="M80" s="44"/>
      <c r="N80" s="230"/>
      <c r="O80" s="230"/>
      <c r="P80" s="230"/>
      <c r="Q80" s="234"/>
      <c r="R80" s="234"/>
      <c r="S80" s="234"/>
      <c r="T80" s="234"/>
      <c r="U80" s="234"/>
      <c r="V80" s="114"/>
      <c r="W80" s="114"/>
      <c r="X80" s="114"/>
    </row>
    <row r="81" spans="1:24" s="5" customFormat="1" x14ac:dyDescent="0.2">
      <c r="A81" s="237"/>
      <c r="B81" s="230"/>
      <c r="C81" s="230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0"/>
      <c r="O81" s="230"/>
      <c r="P81" s="230"/>
      <c r="Q81" s="234"/>
      <c r="R81" s="234"/>
      <c r="S81" s="234"/>
      <c r="T81" s="234"/>
      <c r="U81" s="234"/>
      <c r="V81" s="114"/>
      <c r="W81" s="114"/>
      <c r="X81" s="114"/>
    </row>
    <row r="82" spans="1:24" ht="12" x14ac:dyDescent="0.2">
      <c r="A82" s="111"/>
      <c r="B82" s="13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296"/>
      <c r="R82" s="296"/>
      <c r="S82" s="296"/>
      <c r="T82" s="296"/>
      <c r="U82" s="296"/>
      <c r="V82" s="30"/>
      <c r="W82" s="30"/>
      <c r="X82" s="30"/>
    </row>
    <row r="83" spans="1:24" x14ac:dyDescent="0.2">
      <c r="A83" s="101"/>
      <c r="B83" s="108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52"/>
      <c r="O83" s="52"/>
      <c r="P83" s="52"/>
      <c r="Q83" s="296"/>
      <c r="R83" s="296"/>
      <c r="S83" s="296"/>
      <c r="T83" s="296"/>
      <c r="U83" s="296"/>
      <c r="V83" s="30"/>
      <c r="W83" s="30"/>
      <c r="X83" s="30"/>
    </row>
    <row r="84" spans="1:24" x14ac:dyDescent="0.2">
      <c r="A84" s="101"/>
      <c r="B84" s="108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52"/>
      <c r="O84" s="52"/>
      <c r="P84" s="52"/>
      <c r="Q84" s="296"/>
      <c r="R84" s="296"/>
      <c r="S84" s="296"/>
      <c r="T84" s="296"/>
      <c r="U84" s="296"/>
      <c r="V84" s="30"/>
      <c r="W84" s="30"/>
      <c r="X84" s="30"/>
    </row>
    <row r="85" spans="1:24" x14ac:dyDescent="0.2">
      <c r="A85" s="201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52"/>
      <c r="O85" s="52"/>
      <c r="P85" s="52"/>
      <c r="Q85" s="296"/>
      <c r="R85" s="296"/>
      <c r="S85" s="296"/>
      <c r="T85" s="296"/>
      <c r="U85" s="296"/>
      <c r="V85" s="30"/>
      <c r="W85" s="30"/>
      <c r="X85" s="30"/>
    </row>
    <row r="86" spans="1:24" s="147" customFormat="1" x14ac:dyDescent="0.2">
      <c r="A86" s="102"/>
      <c r="B86" s="103" t="str">
        <f>B5</f>
        <v>TP 2022</v>
      </c>
      <c r="C86" s="103" t="str">
        <f t="shared" ref="C86:M86" si="62">C5</f>
        <v>TP 2023</v>
      </c>
      <c r="D86" s="103">
        <f t="shared" si="62"/>
        <v>2024</v>
      </c>
      <c r="E86" s="103">
        <f t="shared" si="62"/>
        <v>2025</v>
      </c>
      <c r="F86" s="103">
        <f t="shared" si="62"/>
        <v>2026</v>
      </c>
      <c r="G86" s="103">
        <f t="shared" si="62"/>
        <v>2027</v>
      </c>
      <c r="H86" s="103">
        <f t="shared" si="62"/>
        <v>2028</v>
      </c>
      <c r="I86" s="103">
        <f t="shared" si="62"/>
        <v>2029</v>
      </c>
      <c r="J86" s="103">
        <f t="shared" si="62"/>
        <v>2030</v>
      </c>
      <c r="K86" s="103">
        <f t="shared" si="62"/>
        <v>2031</v>
      </c>
      <c r="L86" s="103">
        <f t="shared" si="62"/>
        <v>2032</v>
      </c>
      <c r="M86" s="103">
        <f t="shared" si="62"/>
        <v>2033</v>
      </c>
      <c r="N86" s="196"/>
      <c r="O86" s="196"/>
      <c r="P86" s="152"/>
      <c r="Q86" s="540"/>
      <c r="R86" s="540"/>
      <c r="S86" s="540"/>
      <c r="T86" s="540"/>
      <c r="U86" s="540"/>
      <c r="V86" s="153"/>
      <c r="W86" s="153"/>
      <c r="X86" s="153"/>
    </row>
    <row r="87" spans="1:24" s="147" customFormat="1" x14ac:dyDescent="0.2">
      <c r="A87" s="102" t="s">
        <v>32</v>
      </c>
      <c r="B87" s="102">
        <f>B27</f>
        <v>697.44661371237464</v>
      </c>
      <c r="C87" s="102">
        <f t="shared" ref="C87:M87" si="63">C27</f>
        <v>618.37020442930157</v>
      </c>
      <c r="D87" s="102">
        <f t="shared" si="63"/>
        <v>59.128108005624533</v>
      </c>
      <c r="E87" s="102">
        <f t="shared" si="63"/>
        <v>199.79506556113066</v>
      </c>
      <c r="F87" s="102">
        <f t="shared" si="63"/>
        <v>211.46795428904804</v>
      </c>
      <c r="G87" s="102">
        <f t="shared" si="63"/>
        <v>283.03066062075391</v>
      </c>
      <c r="H87" s="102">
        <f t="shared" si="63"/>
        <v>403.31438566404552</v>
      </c>
      <c r="I87" s="102">
        <f t="shared" si="63"/>
        <v>407.87968687776367</v>
      </c>
      <c r="J87" s="102">
        <f t="shared" si="63"/>
        <v>411.98350688991746</v>
      </c>
      <c r="K87" s="102">
        <f t="shared" si="63"/>
        <v>414.87697160403934</v>
      </c>
      <c r="L87" s="102">
        <f t="shared" si="63"/>
        <v>416.96347780024962</v>
      </c>
      <c r="M87" s="102">
        <f t="shared" si="63"/>
        <v>418.12584302150964</v>
      </c>
      <c r="N87" s="196"/>
      <c r="O87" s="196"/>
      <c r="P87" s="152"/>
      <c r="Q87" s="540"/>
      <c r="R87" s="540"/>
      <c r="S87" s="540"/>
      <c r="T87" s="540"/>
      <c r="U87" s="540"/>
      <c r="V87" s="153"/>
      <c r="W87" s="153"/>
      <c r="X87" s="153"/>
    </row>
    <row r="88" spans="1:24" s="147" customFormat="1" x14ac:dyDescent="0.2">
      <c r="A88" s="102" t="s">
        <v>16</v>
      </c>
      <c r="B88" s="102">
        <f>1000*B28/B8</f>
        <v>8.0937625418060204</v>
      </c>
      <c r="C88" s="102">
        <f t="shared" ref="C88:M88" si="64">1000*C28/C8</f>
        <v>438.33683986371375</v>
      </c>
      <c r="D88" s="102">
        <f t="shared" si="64"/>
        <v>445.28296159633305</v>
      </c>
      <c r="E88" s="102">
        <f t="shared" si="64"/>
        <v>452.83653176760254</v>
      </c>
      <c r="F88" s="102">
        <f t="shared" si="64"/>
        <v>459.85725319035606</v>
      </c>
      <c r="G88" s="102">
        <f t="shared" si="64"/>
        <v>467.0990996972908</v>
      </c>
      <c r="H88" s="102">
        <f t="shared" si="64"/>
        <v>474.99490298398877</v>
      </c>
      <c r="I88" s="102">
        <f t="shared" si="64"/>
        <v>483.16223615746912</v>
      </c>
      <c r="J88" s="102">
        <f t="shared" si="64"/>
        <v>491.61535078637507</v>
      </c>
      <c r="K88" s="102">
        <f t="shared" si="64"/>
        <v>499.7376850972243</v>
      </c>
      <c r="L88" s="102">
        <f t="shared" si="64"/>
        <v>507.99421439313988</v>
      </c>
      <c r="M88" s="102">
        <f t="shared" si="64"/>
        <v>516.38715580694691</v>
      </c>
      <c r="N88" s="196"/>
      <c r="O88" s="196"/>
      <c r="P88" s="152"/>
      <c r="Q88" s="540"/>
      <c r="R88" s="540"/>
      <c r="S88" s="540"/>
      <c r="T88" s="540"/>
      <c r="U88" s="540"/>
      <c r="V88" s="153"/>
      <c r="W88" s="153"/>
      <c r="X88" s="153"/>
    </row>
    <row r="89" spans="1:24" s="147" customFormat="1" x14ac:dyDescent="0.2">
      <c r="A89" s="102" t="s">
        <v>0</v>
      </c>
      <c r="B89" s="102">
        <f t="shared" ref="B89:M89" si="65">-1000*B48/B8</f>
        <v>236.75021739130435</v>
      </c>
      <c r="C89" s="102">
        <f t="shared" si="65"/>
        <v>4.2589437819420786</v>
      </c>
      <c r="D89" s="102">
        <f t="shared" si="65"/>
        <v>124.66758594967698</v>
      </c>
      <c r="E89" s="102">
        <f t="shared" si="65"/>
        <v>65.591106480096769</v>
      </c>
      <c r="F89" s="102">
        <f t="shared" si="65"/>
        <v>97.678014682901306</v>
      </c>
      <c r="G89" s="102">
        <f t="shared" si="65"/>
        <v>83.436609618058867</v>
      </c>
      <c r="H89" s="102">
        <f t="shared" si="65"/>
        <v>92.870204555288964</v>
      </c>
      <c r="I89" s="102">
        <f t="shared" si="65"/>
        <v>90.386495345514035</v>
      </c>
      <c r="J89" s="102">
        <f t="shared" si="65"/>
        <v>94.043824713138974</v>
      </c>
      <c r="K89" s="102">
        <f t="shared" si="65"/>
        <v>94.542450729384413</v>
      </c>
      <c r="L89" s="102">
        <f t="shared" si="65"/>
        <v>96.640741763460412</v>
      </c>
      <c r="M89" s="102">
        <f t="shared" si="65"/>
        <v>97.964840200730009</v>
      </c>
      <c r="N89" s="196"/>
      <c r="O89" s="196"/>
      <c r="P89" s="152"/>
      <c r="Q89" s="540"/>
      <c r="R89" s="540"/>
      <c r="S89" s="540"/>
      <c r="T89" s="540"/>
      <c r="U89" s="540"/>
      <c r="V89" s="153"/>
      <c r="W89" s="153"/>
      <c r="X89" s="153"/>
    </row>
    <row r="90" spans="1:24" x14ac:dyDescent="0.2">
      <c r="A90" s="230"/>
      <c r="B90" s="230"/>
      <c r="C90" s="230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196"/>
      <c r="O90" s="196"/>
      <c r="P90" s="52"/>
      <c r="Q90" s="296"/>
      <c r="R90" s="296"/>
      <c r="S90" s="296"/>
      <c r="T90" s="296"/>
      <c r="U90" s="296"/>
      <c r="V90" s="30"/>
      <c r="W90" s="30"/>
      <c r="X90" s="30"/>
    </row>
    <row r="91" spans="1:24" x14ac:dyDescent="0.2">
      <c r="A91" s="196"/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7"/>
      <c r="M91" s="198"/>
      <c r="N91" s="196"/>
      <c r="O91" s="196"/>
      <c r="P91" s="52"/>
      <c r="Q91" s="296"/>
      <c r="R91" s="296"/>
      <c r="S91" s="296"/>
      <c r="T91" s="296"/>
      <c r="U91" s="296"/>
      <c r="V91" s="30"/>
      <c r="W91" s="30"/>
      <c r="X91" s="30"/>
    </row>
    <row r="92" spans="1:24" x14ac:dyDescent="0.2">
      <c r="A92" s="196"/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48"/>
      <c r="O92" s="52"/>
      <c r="P92" s="52"/>
      <c r="Q92" s="296"/>
      <c r="R92" s="296"/>
      <c r="S92" s="296"/>
      <c r="T92" s="296"/>
      <c r="U92" s="296"/>
      <c r="V92" s="30"/>
      <c r="W92" s="30"/>
      <c r="X92" s="30"/>
    </row>
    <row r="93" spans="1:24" x14ac:dyDescent="0.2">
      <c r="A93" s="52"/>
      <c r="B93" s="132"/>
      <c r="C93" s="52"/>
      <c r="D93" s="52"/>
      <c r="E93" s="52"/>
      <c r="F93" s="52"/>
      <c r="G93" s="52"/>
      <c r="H93" s="52"/>
      <c r="I93" s="52"/>
      <c r="J93" s="52"/>
      <c r="K93" s="52"/>
      <c r="L93" s="105"/>
      <c r="M93" s="82"/>
      <c r="N93" s="82"/>
      <c r="O93" s="82"/>
      <c r="P93" s="82"/>
      <c r="Q93" s="296"/>
      <c r="R93" s="296"/>
      <c r="S93" s="296"/>
      <c r="T93" s="296"/>
      <c r="U93" s="296"/>
      <c r="V93" s="30"/>
      <c r="W93" s="30"/>
      <c r="X93" s="30"/>
    </row>
    <row r="94" spans="1:24" x14ac:dyDescent="0.2">
      <c r="A94" s="52"/>
      <c r="B94" s="132"/>
      <c r="C94" s="52"/>
      <c r="D94" s="52"/>
      <c r="E94" s="52"/>
      <c r="F94" s="52"/>
      <c r="G94" s="52"/>
      <c r="H94" s="52"/>
      <c r="I94" s="52"/>
      <c r="J94" s="52"/>
      <c r="K94" s="52"/>
      <c r="L94" s="106"/>
      <c r="M94" s="82"/>
      <c r="N94" s="82"/>
      <c r="O94" s="82"/>
      <c r="P94" s="82"/>
      <c r="Q94" s="296"/>
      <c r="R94" s="296"/>
      <c r="S94" s="296"/>
      <c r="T94" s="296"/>
      <c r="U94" s="296"/>
      <c r="V94" s="30"/>
      <c r="W94" s="30"/>
      <c r="X94" s="30"/>
    </row>
    <row r="95" spans="1:24" x14ac:dyDescent="0.2">
      <c r="A95" s="52"/>
      <c r="B95" s="132"/>
      <c r="C95" s="52"/>
      <c r="D95" s="52"/>
      <c r="E95" s="52"/>
      <c r="F95" s="52"/>
      <c r="G95" s="52"/>
      <c r="H95" s="52"/>
      <c r="I95" s="52"/>
      <c r="J95" s="52"/>
      <c r="K95" s="52"/>
      <c r="L95" s="104"/>
      <c r="M95" s="82"/>
      <c r="N95" s="82"/>
      <c r="O95" s="82"/>
      <c r="P95" s="82"/>
      <c r="Q95" s="296"/>
      <c r="R95" s="296"/>
      <c r="S95" s="296"/>
      <c r="T95" s="296"/>
      <c r="U95" s="296"/>
      <c r="V95" s="30"/>
      <c r="W95" s="30"/>
      <c r="X95" s="30"/>
    </row>
    <row r="96" spans="1:24" x14ac:dyDescent="0.2">
      <c r="A96" s="52"/>
      <c r="B96" s="13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296"/>
      <c r="R96" s="296"/>
      <c r="S96" s="296"/>
      <c r="T96" s="296"/>
      <c r="U96" s="296"/>
      <c r="V96" s="30"/>
      <c r="W96" s="30"/>
      <c r="X96" s="30"/>
    </row>
    <row r="97" spans="1:24" x14ac:dyDescent="0.2">
      <c r="A97" s="52"/>
      <c r="B97" s="132"/>
      <c r="C97" s="52"/>
      <c r="D97" s="52"/>
      <c r="E97" s="52"/>
      <c r="F97" s="52"/>
      <c r="G97" s="52"/>
      <c r="H97" s="52"/>
      <c r="I97" s="52"/>
      <c r="J97" s="52"/>
      <c r="K97" s="52"/>
      <c r="L97" s="105"/>
      <c r="M97" s="82"/>
      <c r="N97" s="82"/>
      <c r="O97" s="82"/>
      <c r="P97" s="82"/>
      <c r="Q97" s="296"/>
      <c r="R97" s="296"/>
      <c r="S97" s="296"/>
      <c r="T97" s="296"/>
      <c r="U97" s="296"/>
      <c r="V97" s="30"/>
      <c r="W97" s="30"/>
      <c r="X97" s="30"/>
    </row>
    <row r="98" spans="1:24" x14ac:dyDescent="0.2">
      <c r="A98" s="52"/>
      <c r="B98" s="132"/>
      <c r="C98" s="52"/>
      <c r="D98" s="52"/>
      <c r="E98" s="52"/>
      <c r="F98" s="52"/>
      <c r="G98" s="52"/>
      <c r="H98" s="52"/>
      <c r="I98" s="52"/>
      <c r="J98" s="52"/>
      <c r="K98" s="52"/>
      <c r="L98" s="106"/>
      <c r="M98" s="82"/>
      <c r="N98" s="82"/>
      <c r="O98" s="82"/>
      <c r="P98" s="82"/>
      <c r="Q98" s="296"/>
      <c r="R98" s="296"/>
      <c r="S98" s="296"/>
      <c r="T98" s="296"/>
      <c r="U98" s="296"/>
      <c r="V98" s="30"/>
      <c r="W98" s="30"/>
      <c r="X98" s="30"/>
    </row>
    <row r="99" spans="1:24" x14ac:dyDescent="0.2">
      <c r="A99" s="52"/>
      <c r="B99" s="13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296"/>
      <c r="R99" s="296"/>
      <c r="S99" s="296"/>
      <c r="T99" s="296"/>
      <c r="U99" s="296"/>
      <c r="V99" s="30"/>
      <c r="W99" s="30"/>
      <c r="X99" s="30"/>
    </row>
    <row r="100" spans="1:24" x14ac:dyDescent="0.2">
      <c r="A100" s="52"/>
      <c r="B100" s="13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296"/>
      <c r="R100" s="296"/>
      <c r="S100" s="296"/>
      <c r="T100" s="296"/>
      <c r="U100" s="296"/>
      <c r="V100" s="30"/>
      <c r="W100" s="30"/>
      <c r="X100" s="30"/>
    </row>
    <row r="101" spans="1:24" x14ac:dyDescent="0.2">
      <c r="A101" s="52"/>
      <c r="B101" s="13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296"/>
      <c r="R101" s="296"/>
      <c r="S101" s="296"/>
      <c r="T101" s="296"/>
      <c r="U101" s="296"/>
      <c r="V101" s="30"/>
      <c r="W101" s="30"/>
      <c r="X101" s="30"/>
    </row>
    <row r="102" spans="1:24" x14ac:dyDescent="0.2">
      <c r="A102" s="52"/>
      <c r="B102" s="13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296"/>
      <c r="R102" s="296"/>
      <c r="S102" s="296"/>
      <c r="T102" s="296"/>
      <c r="U102" s="296"/>
      <c r="V102" s="30"/>
      <c r="W102" s="30"/>
      <c r="X102" s="30"/>
    </row>
    <row r="103" spans="1:24" x14ac:dyDescent="0.2">
      <c r="A103" s="52"/>
      <c r="B103" s="13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296"/>
      <c r="R103" s="296"/>
      <c r="S103" s="296"/>
      <c r="T103" s="296"/>
      <c r="U103" s="296"/>
      <c r="V103" s="30"/>
      <c r="W103" s="30"/>
      <c r="X103" s="30"/>
    </row>
    <row r="104" spans="1:24" x14ac:dyDescent="0.2">
      <c r="A104" s="52"/>
      <c r="B104" s="13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296"/>
      <c r="R104" s="296"/>
      <c r="S104" s="296"/>
      <c r="T104" s="296"/>
      <c r="U104" s="296"/>
      <c r="V104" s="30"/>
      <c r="W104" s="30"/>
      <c r="X104" s="30"/>
    </row>
    <row r="105" spans="1:24" x14ac:dyDescent="0.2">
      <c r="A105" s="52"/>
      <c r="B105" s="13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296"/>
      <c r="R105" s="296"/>
      <c r="S105" s="296"/>
      <c r="T105" s="296"/>
      <c r="U105" s="296"/>
      <c r="V105" s="30"/>
      <c r="W105" s="30"/>
      <c r="X105" s="30"/>
    </row>
    <row r="106" spans="1:24" x14ac:dyDescent="0.2">
      <c r="A106" s="52"/>
      <c r="B106" s="13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296"/>
      <c r="R106" s="296"/>
      <c r="S106" s="296"/>
      <c r="T106" s="296"/>
      <c r="U106" s="296"/>
      <c r="V106" s="30"/>
      <c r="W106" s="30"/>
      <c r="X106" s="30"/>
    </row>
    <row r="107" spans="1:24" x14ac:dyDescent="0.2">
      <c r="A107" s="52"/>
      <c r="B107" s="13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296"/>
      <c r="R107" s="296"/>
      <c r="S107" s="296"/>
      <c r="T107" s="296"/>
      <c r="U107" s="296"/>
      <c r="V107" s="30"/>
      <c r="W107" s="30"/>
      <c r="X107" s="30"/>
    </row>
    <row r="108" spans="1:24" x14ac:dyDescent="0.2">
      <c r="A108" s="52"/>
      <c r="B108" s="13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296"/>
      <c r="R108" s="296"/>
      <c r="S108" s="296"/>
      <c r="T108" s="296"/>
      <c r="U108" s="296"/>
      <c r="V108" s="30"/>
      <c r="W108" s="30"/>
      <c r="X108" s="30"/>
    </row>
    <row r="109" spans="1:24" x14ac:dyDescent="0.2">
      <c r="A109" s="52"/>
      <c r="B109" s="13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296"/>
      <c r="R109" s="296"/>
      <c r="S109" s="296"/>
      <c r="T109" s="296"/>
      <c r="U109" s="296"/>
      <c r="V109" s="30"/>
      <c r="W109" s="30"/>
      <c r="X109" s="30"/>
    </row>
    <row r="110" spans="1:24" x14ac:dyDescent="0.2">
      <c r="A110" s="52"/>
      <c r="B110" s="13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296"/>
      <c r="R110" s="296"/>
      <c r="S110" s="296"/>
      <c r="T110" s="296"/>
      <c r="U110" s="296"/>
      <c r="V110" s="30"/>
      <c r="W110" s="30"/>
      <c r="X110" s="30"/>
    </row>
    <row r="111" spans="1:24" x14ac:dyDescent="0.2">
      <c r="A111" s="52"/>
      <c r="B111" s="13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296"/>
      <c r="R111" s="296"/>
      <c r="S111" s="296"/>
      <c r="T111" s="296"/>
      <c r="U111" s="296"/>
      <c r="V111" s="30"/>
      <c r="W111" s="30"/>
      <c r="X111" s="30"/>
    </row>
    <row r="112" spans="1:24" x14ac:dyDescent="0.2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52"/>
      <c r="P112" s="52"/>
      <c r="Q112" s="296"/>
      <c r="R112" s="296"/>
      <c r="S112" s="296"/>
      <c r="T112" s="296"/>
      <c r="U112" s="296"/>
      <c r="V112" s="30"/>
      <c r="W112" s="30"/>
      <c r="X112" s="30"/>
    </row>
    <row r="113" spans="1:24" x14ac:dyDescent="0.2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52"/>
      <c r="P113" s="52"/>
      <c r="Q113" s="296"/>
      <c r="R113" s="296"/>
      <c r="S113" s="296"/>
      <c r="T113" s="296"/>
      <c r="U113" s="296"/>
      <c r="V113" s="30"/>
      <c r="W113" s="30"/>
      <c r="X113" s="30"/>
    </row>
    <row r="114" spans="1:24" x14ac:dyDescent="0.2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52"/>
      <c r="P114" s="52"/>
      <c r="Q114" s="296"/>
      <c r="R114" s="296"/>
      <c r="S114" s="296"/>
      <c r="T114" s="296"/>
      <c r="U114" s="296"/>
      <c r="V114" s="30"/>
      <c r="W114" s="30"/>
      <c r="X114" s="30"/>
    </row>
    <row r="115" spans="1:24" x14ac:dyDescent="0.2">
      <c r="A115" s="526"/>
      <c r="B115" s="526"/>
      <c r="C115" s="526"/>
      <c r="D115" s="526"/>
      <c r="E115" s="526"/>
      <c r="F115" s="526"/>
      <c r="G115" s="526"/>
      <c r="H115" s="526"/>
      <c r="I115" s="526"/>
      <c r="J115" s="526"/>
      <c r="K115" s="526"/>
      <c r="L115" s="526"/>
      <c r="M115" s="526"/>
      <c r="N115" s="107"/>
      <c r="O115" s="52"/>
      <c r="P115" s="52"/>
      <c r="Q115" s="296"/>
      <c r="R115" s="296"/>
      <c r="S115" s="296"/>
      <c r="T115" s="296"/>
      <c r="U115" s="296"/>
      <c r="V115" s="30"/>
      <c r="W115" s="30"/>
      <c r="X115" s="30"/>
    </row>
    <row r="116" spans="1:24" s="149" customFormat="1" x14ac:dyDescent="0.2">
      <c r="A116" s="526"/>
      <c r="B116" s="527" t="str">
        <f>B5</f>
        <v>TP 2022</v>
      </c>
      <c r="C116" s="527" t="str">
        <f t="shared" ref="C116:M116" si="66">C5</f>
        <v>TP 2023</v>
      </c>
      <c r="D116" s="527">
        <f t="shared" si="66"/>
        <v>2024</v>
      </c>
      <c r="E116" s="527">
        <f t="shared" si="66"/>
        <v>2025</v>
      </c>
      <c r="F116" s="527">
        <f t="shared" si="66"/>
        <v>2026</v>
      </c>
      <c r="G116" s="527">
        <f t="shared" si="66"/>
        <v>2027</v>
      </c>
      <c r="H116" s="527">
        <f t="shared" si="66"/>
        <v>2028</v>
      </c>
      <c r="I116" s="527">
        <f t="shared" si="66"/>
        <v>2029</v>
      </c>
      <c r="J116" s="527">
        <f t="shared" si="66"/>
        <v>2030</v>
      </c>
      <c r="K116" s="527">
        <f t="shared" si="66"/>
        <v>2031</v>
      </c>
      <c r="L116" s="527">
        <f t="shared" si="66"/>
        <v>2032</v>
      </c>
      <c r="M116" s="527">
        <f t="shared" si="66"/>
        <v>2033</v>
      </c>
      <c r="N116" s="107"/>
      <c r="O116" s="150"/>
      <c r="P116" s="150"/>
      <c r="Q116" s="541"/>
      <c r="R116" s="541"/>
      <c r="S116" s="541"/>
      <c r="T116" s="541"/>
      <c r="U116" s="541"/>
      <c r="V116" s="151"/>
      <c r="W116" s="151"/>
      <c r="X116" s="151"/>
    </row>
    <row r="117" spans="1:24" s="149" customFormat="1" x14ac:dyDescent="0.2">
      <c r="A117" s="526" t="s">
        <v>34</v>
      </c>
      <c r="B117" s="526">
        <f t="shared" ref="B117:M117" si="67">B64</f>
        <v>5882.0911538461532</v>
      </c>
      <c r="C117" s="526">
        <f t="shared" si="67"/>
        <v>5633.7308347529815</v>
      </c>
      <c r="D117" s="526">
        <f t="shared" si="67"/>
        <v>5606.1279719768972</v>
      </c>
      <c r="E117" s="526">
        <f t="shared" si="67"/>
        <v>5603.1051622612722</v>
      </c>
      <c r="F117" s="526">
        <f t="shared" si="67"/>
        <v>5591.0308448945161</v>
      </c>
      <c r="G117" s="526">
        <f t="shared" si="67"/>
        <v>5589.6785015495961</v>
      </c>
      <c r="H117" s="526">
        <f t="shared" si="67"/>
        <v>5607.6757767759818</v>
      </c>
      <c r="I117" s="526">
        <f t="shared" si="67"/>
        <v>5631.3829124892973</v>
      </c>
      <c r="J117" s="526">
        <f t="shared" si="67"/>
        <v>5660.3716926502857</v>
      </c>
      <c r="K117" s="526">
        <f t="shared" si="67"/>
        <v>5687.8451230709488</v>
      </c>
      <c r="L117" s="526">
        <f t="shared" si="67"/>
        <v>5719.0603952770243</v>
      </c>
      <c r="M117" s="526">
        <f t="shared" si="67"/>
        <v>5754.0767499819904</v>
      </c>
      <c r="N117" s="107"/>
      <c r="O117" s="150"/>
      <c r="P117" s="150"/>
      <c r="Q117" s="541"/>
      <c r="R117" s="541"/>
      <c r="S117" s="541"/>
      <c r="T117" s="541"/>
      <c r="U117" s="541"/>
      <c r="V117" s="151"/>
      <c r="W117" s="151"/>
      <c r="X117" s="151"/>
    </row>
    <row r="118" spans="1:24" s="149" customFormat="1" x14ac:dyDescent="0.2">
      <c r="A118" s="526" t="s">
        <v>35</v>
      </c>
      <c r="B118" s="526">
        <f>B62</f>
        <v>8946.4882943143821</v>
      </c>
      <c r="C118" s="526">
        <f t="shared" ref="C118:M118" si="68">C62</f>
        <v>8688.2453151618392</v>
      </c>
      <c r="D118" s="526">
        <f t="shared" si="68"/>
        <v>8774.5854125047608</v>
      </c>
      <c r="E118" s="526">
        <f t="shared" si="68"/>
        <v>8691.1068615287622</v>
      </c>
      <c r="F118" s="526">
        <f t="shared" si="68"/>
        <v>8613.1185998933415</v>
      </c>
      <c r="G118" s="526">
        <f t="shared" si="68"/>
        <v>8459.7641386953146</v>
      </c>
      <c r="H118" s="526">
        <f t="shared" si="68"/>
        <v>8215.832915291383</v>
      </c>
      <c r="I118" s="526">
        <f t="shared" si="68"/>
        <v>7966.8930003157002</v>
      </c>
      <c r="J118" s="526">
        <f t="shared" si="68"/>
        <v>7718.802772027997</v>
      </c>
      <c r="K118" s="526">
        <f t="shared" si="68"/>
        <v>7459.9505166435465</v>
      </c>
      <c r="L118" s="526">
        <f t="shared" si="68"/>
        <v>7200.1212932453818</v>
      </c>
      <c r="M118" s="526">
        <f t="shared" si="68"/>
        <v>6939.4463280407772</v>
      </c>
      <c r="N118" s="107"/>
      <c r="O118" s="150"/>
      <c r="P118" s="150"/>
      <c r="Q118" s="541"/>
      <c r="R118" s="541"/>
      <c r="S118" s="541"/>
      <c r="T118" s="541"/>
      <c r="U118" s="541"/>
      <c r="V118" s="151"/>
      <c r="W118" s="151"/>
      <c r="X118" s="151"/>
    </row>
    <row r="119" spans="1:24" s="149" customFormat="1" x14ac:dyDescent="0.2">
      <c r="A119" s="526" t="s">
        <v>330</v>
      </c>
      <c r="B119" s="526">
        <f>B118-B117</f>
        <v>3064.3971404682288</v>
      </c>
      <c r="C119" s="526">
        <f t="shared" ref="C119:M119" si="69">C118-C117</f>
        <v>3054.5144804088577</v>
      </c>
      <c r="D119" s="526">
        <f t="shared" si="69"/>
        <v>3168.4574405278636</v>
      </c>
      <c r="E119" s="526">
        <f t="shared" si="69"/>
        <v>3088.00169926749</v>
      </c>
      <c r="F119" s="526">
        <f t="shared" si="69"/>
        <v>3022.0877549988254</v>
      </c>
      <c r="G119" s="526">
        <f t="shared" si="69"/>
        <v>2870.0856371457185</v>
      </c>
      <c r="H119" s="526">
        <f t="shared" si="69"/>
        <v>2608.1571385154011</v>
      </c>
      <c r="I119" s="526">
        <f t="shared" si="69"/>
        <v>2335.5100878264029</v>
      </c>
      <c r="J119" s="526">
        <f t="shared" si="69"/>
        <v>2058.4310793777113</v>
      </c>
      <c r="K119" s="526">
        <f t="shared" si="69"/>
        <v>1772.1053935725977</v>
      </c>
      <c r="L119" s="526">
        <f t="shared" si="69"/>
        <v>1481.0608979683575</v>
      </c>
      <c r="M119" s="526">
        <f t="shared" si="69"/>
        <v>1185.3695780587868</v>
      </c>
      <c r="N119" s="107"/>
      <c r="O119" s="150"/>
      <c r="P119" s="150"/>
      <c r="Q119" s="541"/>
      <c r="R119" s="541"/>
      <c r="S119" s="541"/>
      <c r="T119" s="541"/>
      <c r="U119" s="541"/>
      <c r="V119" s="151"/>
      <c r="W119" s="151"/>
      <c r="X119" s="151"/>
    </row>
    <row r="120" spans="1:24" x14ac:dyDescent="0.2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52"/>
      <c r="P120" s="52"/>
      <c r="Q120" s="296"/>
      <c r="R120" s="296"/>
      <c r="S120" s="296"/>
      <c r="T120" s="296"/>
      <c r="U120" s="296"/>
      <c r="V120" s="30"/>
      <c r="W120" s="30"/>
      <c r="X120" s="30"/>
    </row>
    <row r="121" spans="1:24" x14ac:dyDescent="0.2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52"/>
      <c r="P121" s="52"/>
      <c r="Q121" s="296"/>
      <c r="R121" s="296"/>
      <c r="S121" s="296"/>
      <c r="T121" s="296"/>
      <c r="U121" s="296"/>
      <c r="V121" s="30"/>
      <c r="W121" s="30"/>
      <c r="X121" s="30"/>
    </row>
    <row r="122" spans="1:24" x14ac:dyDescent="0.2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52"/>
      <c r="P122" s="52"/>
      <c r="Q122" s="296"/>
      <c r="R122" s="296"/>
      <c r="S122" s="296"/>
      <c r="T122" s="296"/>
      <c r="U122" s="296"/>
      <c r="V122" s="30"/>
      <c r="W122" s="30"/>
      <c r="X122" s="30"/>
    </row>
    <row r="123" spans="1:24" x14ac:dyDescent="0.2">
      <c r="A123" s="52"/>
      <c r="B123" s="13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296"/>
      <c r="R123" s="296"/>
      <c r="S123" s="296"/>
      <c r="T123" s="296"/>
      <c r="U123" s="296"/>
      <c r="V123" s="30"/>
      <c r="W123" s="30"/>
      <c r="X123" s="30"/>
    </row>
    <row r="124" spans="1:24" x14ac:dyDescent="0.2">
      <c r="A124" s="52"/>
      <c r="B124" s="13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296"/>
      <c r="R124" s="296"/>
      <c r="S124" s="296"/>
      <c r="T124" s="296"/>
      <c r="U124" s="296"/>
      <c r="V124" s="30"/>
      <c r="W124" s="30"/>
      <c r="X124" s="30"/>
    </row>
    <row r="125" spans="1:24" x14ac:dyDescent="0.2">
      <c r="A125" s="52"/>
      <c r="B125" s="13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296"/>
      <c r="R125" s="296"/>
      <c r="S125" s="296"/>
      <c r="T125" s="296"/>
      <c r="U125" s="296"/>
      <c r="V125" s="30"/>
      <c r="W125" s="30"/>
      <c r="X125" s="30"/>
    </row>
    <row r="126" spans="1:24" x14ac:dyDescent="0.2">
      <c r="A126" s="52"/>
      <c r="B126" s="13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296"/>
      <c r="R126" s="296"/>
      <c r="S126" s="296"/>
      <c r="T126" s="296"/>
      <c r="U126" s="296"/>
      <c r="V126" s="30"/>
      <c r="W126" s="30"/>
      <c r="X126" s="30"/>
    </row>
    <row r="127" spans="1:24" x14ac:dyDescent="0.2">
      <c r="A127" s="52"/>
      <c r="B127" s="13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296"/>
      <c r="R127" s="296"/>
      <c r="S127" s="296"/>
      <c r="T127" s="296"/>
      <c r="U127" s="296"/>
      <c r="V127" s="30"/>
      <c r="W127" s="30"/>
      <c r="X127" s="30"/>
    </row>
    <row r="128" spans="1:24" x14ac:dyDescent="0.2">
      <c r="A128" s="52"/>
      <c r="B128" s="13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296"/>
      <c r="R128" s="296"/>
      <c r="S128" s="296"/>
      <c r="T128" s="296"/>
      <c r="U128" s="296"/>
      <c r="V128" s="30"/>
      <c r="W128" s="30"/>
      <c r="X128" s="30"/>
    </row>
    <row r="129" spans="1:24" x14ac:dyDescent="0.2">
      <c r="A129" s="52"/>
      <c r="B129" s="13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296"/>
      <c r="R129" s="296"/>
      <c r="S129" s="296"/>
      <c r="T129" s="296"/>
      <c r="U129" s="296"/>
      <c r="V129" s="30"/>
      <c r="W129" s="30"/>
      <c r="X129" s="30"/>
    </row>
    <row r="130" spans="1:24" x14ac:dyDescent="0.2">
      <c r="A130" s="52"/>
      <c r="B130" s="13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296"/>
      <c r="R130" s="296"/>
      <c r="S130" s="296"/>
      <c r="T130" s="296"/>
      <c r="U130" s="296"/>
      <c r="V130" s="30"/>
      <c r="W130" s="30"/>
      <c r="X130" s="30"/>
    </row>
    <row r="131" spans="1:24" x14ac:dyDescent="0.2">
      <c r="A131" s="52"/>
      <c r="B131" s="13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296"/>
      <c r="R131" s="296"/>
      <c r="S131" s="296"/>
      <c r="T131" s="296"/>
      <c r="U131" s="296"/>
      <c r="V131" s="30"/>
      <c r="W131" s="30"/>
      <c r="X131" s="30"/>
    </row>
    <row r="132" spans="1:24" x14ac:dyDescent="0.2">
      <c r="A132" s="52"/>
      <c r="B132" s="13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296"/>
      <c r="R132" s="296"/>
      <c r="S132" s="296"/>
      <c r="T132" s="296"/>
      <c r="U132" s="296"/>
      <c r="V132" s="30"/>
      <c r="W132" s="30"/>
      <c r="X132" s="30"/>
    </row>
    <row r="133" spans="1:24" x14ac:dyDescent="0.2">
      <c r="A133" s="132"/>
      <c r="B133" s="13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296"/>
      <c r="R133" s="296"/>
      <c r="S133" s="296"/>
      <c r="T133" s="296"/>
      <c r="U133" s="296"/>
      <c r="V133" s="30"/>
      <c r="W133" s="30"/>
      <c r="X133" s="30"/>
    </row>
    <row r="134" spans="1:24" x14ac:dyDescent="0.2">
      <c r="A134" s="52"/>
      <c r="B134" s="13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296"/>
      <c r="R134" s="296"/>
      <c r="S134" s="296"/>
      <c r="T134" s="296"/>
      <c r="U134" s="296"/>
      <c r="V134" s="30"/>
      <c r="W134" s="30"/>
      <c r="X134" s="30"/>
    </row>
    <row r="135" spans="1:24" x14ac:dyDescent="0.2">
      <c r="A135" s="16"/>
      <c r="B135" s="25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296"/>
      <c r="R135" s="296"/>
      <c r="S135" s="296"/>
      <c r="T135" s="296"/>
      <c r="U135" s="296"/>
      <c r="V135" s="30"/>
      <c r="W135" s="30"/>
      <c r="X135" s="30"/>
    </row>
    <row r="136" spans="1:24" x14ac:dyDescent="0.2">
      <c r="A136" s="16"/>
      <c r="B136" s="25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296"/>
      <c r="R136" s="296"/>
      <c r="S136" s="296"/>
      <c r="T136" s="296"/>
      <c r="U136" s="296"/>
      <c r="V136" s="30"/>
      <c r="W136" s="30"/>
      <c r="X136" s="30"/>
    </row>
    <row r="137" spans="1:24" x14ac:dyDescent="0.2">
      <c r="A137" s="16"/>
      <c r="B137" s="2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296"/>
      <c r="R137" s="296"/>
      <c r="S137" s="296"/>
      <c r="T137" s="296"/>
      <c r="U137" s="296"/>
      <c r="V137" s="30"/>
      <c r="W137" s="30"/>
      <c r="X137" s="30"/>
    </row>
    <row r="138" spans="1:24" x14ac:dyDescent="0.2">
      <c r="A138" s="16"/>
      <c r="B138" s="2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296"/>
      <c r="R138" s="296"/>
      <c r="S138" s="296"/>
      <c r="T138" s="296"/>
      <c r="U138" s="296"/>
      <c r="V138" s="30"/>
      <c r="W138" s="30"/>
      <c r="X138" s="30"/>
    </row>
    <row r="139" spans="1:24" x14ac:dyDescent="0.2">
      <c r="A139" s="16"/>
      <c r="B139" s="2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296"/>
      <c r="R139" s="296"/>
      <c r="S139" s="296"/>
      <c r="T139" s="296"/>
      <c r="U139" s="296"/>
      <c r="V139" s="30"/>
      <c r="W139" s="30"/>
      <c r="X139" s="30"/>
    </row>
    <row r="140" spans="1:24" x14ac:dyDescent="0.2">
      <c r="A140" s="16"/>
      <c r="B140" s="2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296"/>
      <c r="R140" s="296"/>
      <c r="S140" s="296"/>
      <c r="T140" s="296"/>
      <c r="U140" s="296"/>
      <c r="V140" s="30"/>
      <c r="W140" s="30"/>
      <c r="X140" s="30"/>
    </row>
    <row r="141" spans="1:24" x14ac:dyDescent="0.2">
      <c r="A141" s="16"/>
      <c r="B141" s="2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296"/>
      <c r="R141" s="296"/>
      <c r="S141" s="296"/>
      <c r="T141" s="296"/>
      <c r="U141" s="296"/>
      <c r="V141" s="30"/>
      <c r="W141" s="30"/>
      <c r="X141" s="30"/>
    </row>
    <row r="142" spans="1:24" x14ac:dyDescent="0.2">
      <c r="A142" s="16"/>
      <c r="B142" s="2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296"/>
      <c r="R142" s="296"/>
      <c r="S142" s="296"/>
      <c r="T142" s="296"/>
      <c r="U142" s="296"/>
      <c r="V142" s="30"/>
      <c r="W142" s="30"/>
      <c r="X142" s="30"/>
    </row>
    <row r="143" spans="1:24" x14ac:dyDescent="0.2">
      <c r="A143" s="16"/>
      <c r="B143" s="25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296"/>
      <c r="R143" s="296"/>
      <c r="S143" s="296"/>
      <c r="T143" s="296"/>
      <c r="U143" s="296"/>
      <c r="V143" s="30"/>
      <c r="W143" s="30"/>
      <c r="X143" s="30"/>
    </row>
    <row r="144" spans="1:24" x14ac:dyDescent="0.2">
      <c r="A144" s="16"/>
      <c r="B144" s="25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296"/>
      <c r="R144" s="296"/>
      <c r="S144" s="296"/>
      <c r="T144" s="296"/>
      <c r="U144" s="296"/>
      <c r="V144" s="30"/>
      <c r="W144" s="30"/>
      <c r="X144" s="30"/>
    </row>
    <row r="145" spans="1:24" x14ac:dyDescent="0.2">
      <c r="A145" s="528"/>
      <c r="B145" s="528"/>
      <c r="C145" s="528"/>
      <c r="D145" s="528"/>
      <c r="E145" s="528"/>
      <c r="F145" s="528"/>
      <c r="G145" s="528"/>
      <c r="H145" s="528"/>
      <c r="I145" s="528"/>
      <c r="J145" s="528"/>
      <c r="K145" s="528"/>
      <c r="L145" s="528"/>
      <c r="M145" s="528"/>
      <c r="N145" s="528"/>
      <c r="O145" s="528"/>
      <c r="P145" s="16"/>
      <c r="Q145" s="296"/>
      <c r="R145" s="296"/>
      <c r="S145" s="296"/>
      <c r="T145" s="296"/>
      <c r="U145" s="296"/>
      <c r="V145" s="30"/>
      <c r="W145" s="30"/>
      <c r="X145" s="30"/>
    </row>
    <row r="146" spans="1:24" x14ac:dyDescent="0.2">
      <c r="A146" s="528"/>
      <c r="B146" s="529" t="str">
        <f>B116</f>
        <v>TP 2022</v>
      </c>
      <c r="C146" s="529" t="str">
        <f t="shared" ref="C146:M146" si="70">C116</f>
        <v>TP 2023</v>
      </c>
      <c r="D146" s="529">
        <f t="shared" si="70"/>
        <v>2024</v>
      </c>
      <c r="E146" s="529">
        <f t="shared" si="70"/>
        <v>2025</v>
      </c>
      <c r="F146" s="529">
        <f t="shared" si="70"/>
        <v>2026</v>
      </c>
      <c r="G146" s="529">
        <f t="shared" si="70"/>
        <v>2027</v>
      </c>
      <c r="H146" s="529">
        <f t="shared" si="70"/>
        <v>2028</v>
      </c>
      <c r="I146" s="529">
        <f t="shared" si="70"/>
        <v>2029</v>
      </c>
      <c r="J146" s="529">
        <f t="shared" si="70"/>
        <v>2030</v>
      </c>
      <c r="K146" s="529">
        <f t="shared" si="70"/>
        <v>2031</v>
      </c>
      <c r="L146" s="529">
        <f t="shared" si="70"/>
        <v>2032</v>
      </c>
      <c r="M146" s="529">
        <f t="shared" si="70"/>
        <v>2033</v>
      </c>
      <c r="N146" s="528"/>
      <c r="O146" s="528"/>
      <c r="P146" s="16"/>
      <c r="Q146" s="296"/>
      <c r="R146" s="296"/>
      <c r="S146" s="296"/>
      <c r="T146" s="296"/>
      <c r="U146" s="296"/>
      <c r="V146" s="30"/>
      <c r="W146" s="30"/>
      <c r="X146" s="30"/>
    </row>
    <row r="147" spans="1:24" x14ac:dyDescent="0.2">
      <c r="A147" s="528" t="s">
        <v>17</v>
      </c>
      <c r="B147" s="530">
        <f>(1000*B35)/B8</f>
        <v>689.35285117056856</v>
      </c>
      <c r="C147" s="530">
        <f t="shared" ref="C147:M147" si="71">(1000*C35)/C8</f>
        <v>165.1863202725724</v>
      </c>
      <c r="D147" s="530">
        <f t="shared" si="71"/>
        <v>-386.15485359070851</v>
      </c>
      <c r="E147" s="530">
        <f t="shared" si="71"/>
        <v>-253.04146620647191</v>
      </c>
      <c r="F147" s="530">
        <f t="shared" si="71"/>
        <v>-248.38929890130805</v>
      </c>
      <c r="G147" s="530">
        <f t="shared" si="71"/>
        <v>-184.06843907653689</v>
      </c>
      <c r="H147" s="530">
        <f t="shared" si="71"/>
        <v>-71.680517319943277</v>
      </c>
      <c r="I147" s="530">
        <f t="shared" si="71"/>
        <v>-75.282549279705492</v>
      </c>
      <c r="J147" s="530">
        <f t="shared" si="71"/>
        <v>-79.631843896457653</v>
      </c>
      <c r="K147" s="530">
        <f t="shared" si="71"/>
        <v>-84.860713493184946</v>
      </c>
      <c r="L147" s="530">
        <f t="shared" si="71"/>
        <v>-91.030736592890293</v>
      </c>
      <c r="M147" s="530">
        <f t="shared" si="71"/>
        <v>-98.26131278543734</v>
      </c>
      <c r="N147" s="528"/>
      <c r="O147" s="528"/>
      <c r="P147" s="16"/>
      <c r="Q147" s="296"/>
      <c r="R147" s="296"/>
      <c r="S147" s="296"/>
      <c r="T147" s="296"/>
      <c r="U147" s="296"/>
      <c r="V147" s="30"/>
      <c r="W147" s="30"/>
      <c r="X147" s="30"/>
    </row>
    <row r="148" spans="1:24" x14ac:dyDescent="0.2">
      <c r="A148" s="528" t="s">
        <v>469</v>
      </c>
      <c r="B148" s="530">
        <f>B38</f>
        <v>-2553.7690802675584</v>
      </c>
      <c r="C148" s="530">
        <f t="shared" ref="C148:M148" si="72">C38</f>
        <v>-2436.4387393526408</v>
      </c>
      <c r="D148" s="530">
        <f t="shared" si="72"/>
        <v>-2861.2027139172446</v>
      </c>
      <c r="E148" s="530">
        <f t="shared" si="72"/>
        <v>-3162.7802736592084</v>
      </c>
      <c r="F148" s="530">
        <f t="shared" si="72"/>
        <v>-3460.2049256405044</v>
      </c>
      <c r="G148" s="530">
        <f t="shared" si="72"/>
        <v>-3698.7647808688603</v>
      </c>
      <c r="H148" s="530">
        <f t="shared" si="72"/>
        <v>-3832.9689021358749</v>
      </c>
      <c r="I148" s="530">
        <f t="shared" si="72"/>
        <v>-3974.1577040314905</v>
      </c>
      <c r="J148" s="530">
        <f t="shared" si="72"/>
        <v>-4123.3190105215017</v>
      </c>
      <c r="K148" s="530">
        <f t="shared" si="72"/>
        <v>-4276.3040724919338</v>
      </c>
      <c r="L148" s="530">
        <f t="shared" si="72"/>
        <v>-4437.9867348964699</v>
      </c>
      <c r="M148" s="530">
        <f t="shared" si="72"/>
        <v>-4609.5712502025026</v>
      </c>
      <c r="N148" s="528"/>
      <c r="O148" s="528"/>
      <c r="P148" s="16"/>
      <c r="Q148" s="296"/>
      <c r="R148" s="296"/>
      <c r="S148" s="296"/>
      <c r="T148" s="296"/>
      <c r="U148" s="296"/>
      <c r="V148" s="30"/>
      <c r="W148" s="30"/>
      <c r="X148" s="30"/>
    </row>
    <row r="149" spans="1:24" x14ac:dyDescent="0.2">
      <c r="A149" s="528"/>
      <c r="B149" s="528"/>
      <c r="C149" s="528"/>
      <c r="D149" s="528"/>
      <c r="E149" s="528"/>
      <c r="F149" s="528"/>
      <c r="G149" s="528"/>
      <c r="H149" s="528"/>
      <c r="I149" s="528"/>
      <c r="J149" s="528"/>
      <c r="K149" s="528"/>
      <c r="L149" s="528"/>
      <c r="M149" s="528"/>
      <c r="N149" s="528"/>
      <c r="O149" s="528"/>
      <c r="P149" s="16"/>
      <c r="Q149" s="296"/>
      <c r="R149" s="296"/>
      <c r="S149" s="296"/>
      <c r="T149" s="296"/>
      <c r="U149" s="296"/>
      <c r="V149" s="30"/>
      <c r="W149" s="30"/>
      <c r="X149" s="30"/>
    </row>
    <row r="150" spans="1:24" x14ac:dyDescent="0.2">
      <c r="A150" s="16"/>
      <c r="B150" s="2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528"/>
      <c r="N150" s="16"/>
      <c r="O150" s="16"/>
      <c r="P150" s="16"/>
      <c r="Q150" s="296"/>
      <c r="R150" s="296"/>
      <c r="S150" s="296"/>
      <c r="T150" s="296"/>
      <c r="U150" s="296"/>
      <c r="V150" s="30"/>
      <c r="W150" s="30"/>
      <c r="X150" s="30"/>
    </row>
    <row r="151" spans="1:24" x14ac:dyDescent="0.2">
      <c r="A151" s="16"/>
      <c r="B151" s="2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528"/>
      <c r="N151" s="16"/>
      <c r="O151" s="16"/>
      <c r="P151" s="16"/>
      <c r="Q151" s="296"/>
      <c r="R151" s="296"/>
      <c r="S151" s="296"/>
      <c r="T151" s="296"/>
      <c r="U151" s="296"/>
      <c r="V151" s="30"/>
      <c r="W151" s="30"/>
      <c r="X151" s="30"/>
    </row>
    <row r="152" spans="1:24" x14ac:dyDescent="0.2">
      <c r="A152" s="16"/>
      <c r="B152" s="2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296"/>
      <c r="R152" s="296"/>
      <c r="S152" s="296"/>
      <c r="T152" s="296"/>
      <c r="U152" s="296"/>
      <c r="V152" s="30"/>
      <c r="W152" s="30"/>
      <c r="X152" s="30"/>
    </row>
    <row r="153" spans="1:24" x14ac:dyDescent="0.2">
      <c r="A153" s="16"/>
      <c r="B153" s="2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296"/>
      <c r="R153" s="296"/>
      <c r="S153" s="296"/>
      <c r="T153" s="296"/>
      <c r="U153" s="296"/>
      <c r="V153" s="30"/>
      <c r="W153" s="30"/>
      <c r="X153" s="30"/>
    </row>
    <row r="154" spans="1:24" x14ac:dyDescent="0.2">
      <c r="A154" s="16"/>
      <c r="B154" s="2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296"/>
      <c r="R154" s="296"/>
      <c r="S154" s="296"/>
      <c r="T154" s="296"/>
      <c r="U154" s="296"/>
      <c r="V154" s="30"/>
      <c r="W154" s="30"/>
      <c r="X154" s="30"/>
    </row>
    <row r="155" spans="1:24" x14ac:dyDescent="0.2">
      <c r="A155" s="16"/>
      <c r="B155" s="2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296"/>
      <c r="R155" s="296"/>
      <c r="S155" s="296"/>
      <c r="T155" s="296"/>
      <c r="U155" s="296"/>
      <c r="V155" s="30"/>
      <c r="W155" s="30"/>
      <c r="X155" s="30"/>
    </row>
    <row r="156" spans="1:24" x14ac:dyDescent="0.2">
      <c r="A156" s="16"/>
      <c r="B156" s="2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296"/>
      <c r="R156" s="296"/>
      <c r="S156" s="296"/>
      <c r="T156" s="296"/>
      <c r="U156" s="296"/>
      <c r="V156" s="30"/>
      <c r="W156" s="30"/>
      <c r="X156" s="30"/>
    </row>
    <row r="157" spans="1:24" x14ac:dyDescent="0.2">
      <c r="A157" s="16"/>
      <c r="B157" s="2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296"/>
      <c r="R157" s="296"/>
      <c r="S157" s="296"/>
      <c r="T157" s="296"/>
      <c r="U157" s="296"/>
      <c r="V157" s="30"/>
      <c r="W157" s="30"/>
      <c r="X157" s="30"/>
    </row>
    <row r="158" spans="1:24" x14ac:dyDescent="0.2">
      <c r="A158" s="16"/>
      <c r="B158" s="2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296"/>
      <c r="R158" s="296"/>
      <c r="S158" s="296"/>
      <c r="T158" s="296"/>
      <c r="U158" s="296"/>
      <c r="V158" s="30"/>
      <c r="W158" s="30"/>
      <c r="X158" s="30"/>
    </row>
    <row r="159" spans="1:24" x14ac:dyDescent="0.2">
      <c r="A159" s="16"/>
      <c r="B159" s="25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296"/>
      <c r="R159" s="296"/>
      <c r="S159" s="296"/>
      <c r="T159" s="296"/>
      <c r="U159" s="296"/>
      <c r="V159" s="30"/>
      <c r="W159" s="30"/>
      <c r="X159" s="30"/>
    </row>
    <row r="160" spans="1:24" x14ac:dyDescent="0.2">
      <c r="A160" s="16"/>
      <c r="B160" s="25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296"/>
      <c r="R160" s="296"/>
      <c r="S160" s="296"/>
      <c r="T160" s="296"/>
      <c r="U160" s="296"/>
      <c r="V160" s="30"/>
      <c r="W160" s="30"/>
      <c r="X160" s="30"/>
    </row>
    <row r="161" spans="1:24" x14ac:dyDescent="0.2">
      <c r="A161" s="16"/>
      <c r="B161" s="25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296"/>
      <c r="R161" s="296"/>
      <c r="S161" s="296"/>
      <c r="T161" s="296"/>
      <c r="U161" s="296"/>
      <c r="V161" s="30"/>
      <c r="W161" s="30"/>
      <c r="X161" s="30"/>
    </row>
  </sheetData>
  <sheetProtection selectLockedCells="1"/>
  <phoneticPr fontId="0" type="noConversion"/>
  <pageMargins left="0.59055118110236227" right="0.59055118110236227" top="0.59055118110236227" bottom="0.39370078740157483" header="0.51181102362204722" footer="0.51181102362204722"/>
  <pageSetup scale="80" orientation="landscape" r:id="rId1"/>
  <headerFooter alignWithMargins="0"/>
  <ignoredErrors>
    <ignoredError sqref="C31 D23:E23 J23" formula="1"/>
    <ignoredError sqref="E31:F31 G18 H31:M31 H23:I23 G23 G31 F23 K23:M23 I72:M72" formula="1" unlockedFormula="1"/>
    <ignoredError sqref="E10 D19:M19 D13 F26:G26 G9:M9 D27:F27 D36:M36 J73:M73 J74:M74 J75:M75 J76:M76 H17:M18 D22:F22 H22:M22 D24:F24 H24:M24 D25:F25 H25:M25 D32:F32 H32:M32 D33:F33 H33:M33 D34:F34 H34:M34 D43:F43 E42:F42 H42:M42 D49:M52 D58:M58 E57:F57 H57:M57 H43:M44 G43:G44 G42 H26:M26 G22 G32:G34 G24:G25 G27 D11:E11 H11:M11 E35:M35 D54:M55 E53:M53 E44:F44 E41:M41 D60:M62 D59:G59 I59:M59 D69:F69 K69:M69 D39:M40 E37:M37 D64:M64 E63:M63 J21:M21 H69 G10:M10 F17:F18 D38:I38 K38:M38 H27:I27 K27:M27 D72:H72 I70:M71 D76:H76 F9 D66:M68 D45:M47 D28:M2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locked="0" defaultSize="0" autoLine="0" autoPict="0">
                <anchor moveWithCells="1">
                  <from>
                    <xdr:col>7</xdr:col>
                    <xdr:colOff>57150</xdr:colOff>
                    <xdr:row>1</xdr:row>
                    <xdr:rowOff>57150</xdr:rowOff>
                  </from>
                  <to>
                    <xdr:col>8</xdr:col>
                    <xdr:colOff>561975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46"/>
  <sheetViews>
    <sheetView showGridLines="0" workbookViewId="0">
      <pane xSplit="2" ySplit="2" topLeftCell="BN3" activePane="bottomRight" state="frozen"/>
      <selection pane="topRight" activeCell="C1" sqref="C1"/>
      <selection pane="bottomLeft" activeCell="A3" sqref="A3"/>
      <selection pane="bottomRight" activeCell="CB3" sqref="CB3:CB296"/>
    </sheetView>
  </sheetViews>
  <sheetFormatPr defaultColWidth="9.33203125" defaultRowHeight="11.25" x14ac:dyDescent="0.2"/>
  <cols>
    <col min="1" max="1" width="4.6640625" style="154" customWidth="1"/>
    <col min="2" max="2" width="12.33203125" style="156" customWidth="1"/>
    <col min="3" max="3" width="11" style="177" bestFit="1" customWidth="1"/>
    <col min="4" max="4" width="14.33203125" style="156" bestFit="1" customWidth="1"/>
    <col min="5" max="5" width="7.6640625" style="155" customWidth="1"/>
    <col min="6" max="6" width="5.6640625" style="156" customWidth="1"/>
    <col min="7" max="7" width="14.83203125" style="156" bestFit="1" customWidth="1"/>
    <col min="8" max="8" width="14" style="156" bestFit="1" customWidth="1"/>
    <col min="9" max="9" width="11" style="156" bestFit="1" customWidth="1"/>
    <col min="10" max="10" width="12.5" style="156" bestFit="1" customWidth="1"/>
    <col min="11" max="11" width="10.33203125" style="156" customWidth="1"/>
    <col min="12" max="12" width="11.83203125" style="156" customWidth="1"/>
    <col min="13" max="13" width="10.5" style="156" customWidth="1"/>
    <col min="14" max="14" width="11.83203125" style="156" customWidth="1"/>
    <col min="15" max="15" width="10.33203125" style="156" bestFit="1" customWidth="1"/>
    <col min="16" max="18" width="9.33203125" style="156"/>
    <col min="19" max="19" width="10.6640625" style="156" customWidth="1"/>
    <col min="20" max="21" width="9.33203125" style="156"/>
    <col min="22" max="22" width="10.33203125" style="156" bestFit="1" customWidth="1"/>
    <col min="23" max="23" width="9.5" style="156" bestFit="1" customWidth="1"/>
    <col min="24" max="24" width="15.5" style="156" bestFit="1" customWidth="1"/>
    <col min="25" max="27" width="9.33203125" style="156"/>
    <col min="28" max="28" width="21.6640625" style="156" bestFit="1" customWidth="1"/>
    <col min="29" max="29" width="7.33203125" style="156" customWidth="1"/>
    <col min="30" max="30" width="20.1640625" style="156" bestFit="1" customWidth="1"/>
    <col min="31" max="31" width="10.6640625" style="156" bestFit="1" customWidth="1"/>
    <col min="32" max="32" width="9.5" style="156" customWidth="1"/>
    <col min="33" max="33" width="14.33203125" style="156" customWidth="1"/>
    <col min="34" max="34" width="17.6640625" style="156" bestFit="1" customWidth="1"/>
    <col min="35" max="35" width="9.6640625" style="156" bestFit="1" customWidth="1"/>
    <col min="36" max="36" width="14.6640625" style="157" customWidth="1"/>
    <col min="37" max="37" width="5" style="156" bestFit="1" customWidth="1"/>
    <col min="38" max="38" width="15.83203125" style="156" customWidth="1"/>
    <col min="39" max="39" width="8.5" style="156" customWidth="1"/>
    <col min="40" max="40" width="11.83203125" style="156" customWidth="1"/>
    <col min="41" max="41" width="10.6640625" style="268" bestFit="1" customWidth="1"/>
    <col min="42" max="42" width="12.6640625" style="268" bestFit="1" customWidth="1"/>
    <col min="43" max="43" width="9.6640625" style="456" customWidth="1"/>
    <col min="44" max="44" width="9.83203125" style="456" bestFit="1" customWidth="1"/>
    <col min="45" max="45" width="13.6640625" style="268" bestFit="1" customWidth="1"/>
    <col min="46" max="46" width="12.6640625" style="268" bestFit="1" customWidth="1"/>
    <col min="47" max="47" width="10.6640625" style="456" customWidth="1"/>
    <col min="48" max="48" width="12.6640625" style="268" bestFit="1" customWidth="1"/>
    <col min="49" max="49" width="11.6640625" style="268" bestFit="1" customWidth="1"/>
    <col min="50" max="50" width="12.6640625" style="268" bestFit="1" customWidth="1"/>
    <col min="51" max="51" width="11.83203125" style="268" customWidth="1"/>
    <col min="52" max="52" width="11.5" style="268" bestFit="1" customWidth="1"/>
    <col min="53" max="54" width="9.5" style="268" bestFit="1" customWidth="1"/>
    <col min="55" max="55" width="15.6640625" style="268" bestFit="1" customWidth="1"/>
    <col min="56" max="56" width="15" style="268" bestFit="1" customWidth="1"/>
    <col min="57" max="57" width="11.5" style="268" bestFit="1" customWidth="1"/>
    <col min="58" max="58" width="9.5" style="456" bestFit="1" customWidth="1"/>
    <col min="59" max="59" width="9.6640625" style="268" bestFit="1" customWidth="1"/>
    <col min="60" max="60" width="10.5" style="268" bestFit="1" customWidth="1"/>
    <col min="61" max="61" width="9.6640625" style="268" bestFit="1" customWidth="1"/>
    <col min="62" max="62" width="15.6640625" style="268" bestFit="1" customWidth="1"/>
    <col min="63" max="65" width="9.5" style="268" bestFit="1" customWidth="1"/>
    <col min="66" max="66" width="21.83203125" style="268" bestFit="1" customWidth="1"/>
    <col min="67" max="67" width="7.33203125" style="456" customWidth="1"/>
    <col min="68" max="68" width="20.33203125" style="268" bestFit="1" customWidth="1"/>
    <col min="69" max="69" width="8.83203125" style="268" customWidth="1"/>
    <col min="70" max="70" width="6.83203125" style="278" customWidth="1"/>
    <col min="71" max="72" width="8.83203125" style="278" customWidth="1"/>
    <col min="73" max="73" width="9.5" style="278" bestFit="1" customWidth="1"/>
    <col min="74" max="74" width="14.83203125" style="318" customWidth="1"/>
    <col min="75" max="75" width="9.5" style="456" bestFit="1" customWidth="1"/>
    <col min="76" max="76" width="14.6640625" style="268" customWidth="1"/>
    <col min="77" max="77" width="9.5" style="480" bestFit="1" customWidth="1"/>
    <col min="78" max="78" width="9.33203125" style="480" customWidth="1"/>
    <col min="79" max="79" width="12.5" style="259" customWidth="1"/>
    <col min="80" max="80" width="11.33203125" style="288" customWidth="1"/>
    <col min="81" max="81" width="11.33203125" style="485" customWidth="1"/>
    <col min="82" max="82" width="7.1640625" style="286" customWidth="1"/>
    <col min="83" max="83" width="5.6640625" style="156" customWidth="1"/>
    <col min="84" max="84" width="9.5" style="156" customWidth="1"/>
    <col min="85" max="85" width="5.6640625" style="158" customWidth="1"/>
    <col min="86" max="86" width="10.33203125" style="156" customWidth="1"/>
    <col min="87" max="87" width="7.6640625" style="156" customWidth="1"/>
    <col min="88" max="88" width="15.33203125" style="155" bestFit="1" customWidth="1"/>
    <col min="89" max="91" width="15.33203125" style="1" bestFit="1" customWidth="1"/>
    <col min="92" max="92" width="15.5" style="1" customWidth="1"/>
    <col min="93" max="93" width="9.33203125" style="494"/>
    <col min="94" max="94" width="9.33203125" style="266"/>
    <col min="95" max="96" width="9.6640625" style="534" bestFit="1" customWidth="1"/>
    <col min="97" max="16384" width="9.33203125" style="266"/>
  </cols>
  <sheetData>
    <row r="1" spans="1:96" s="146" customFormat="1" ht="12.75" x14ac:dyDescent="0.2">
      <c r="A1" s="154"/>
      <c r="B1" s="155">
        <v>1</v>
      </c>
      <c r="C1" s="176">
        <v>2022</v>
      </c>
      <c r="D1" s="156">
        <v>3</v>
      </c>
      <c r="E1" s="268">
        <v>4</v>
      </c>
      <c r="F1" s="156">
        <v>5</v>
      </c>
      <c r="G1" s="268">
        <v>6</v>
      </c>
      <c r="H1" s="156">
        <v>7</v>
      </c>
      <c r="I1" s="268">
        <v>8</v>
      </c>
      <c r="J1" s="156">
        <v>9</v>
      </c>
      <c r="K1" s="268">
        <v>10</v>
      </c>
      <c r="L1" s="156">
        <v>11</v>
      </c>
      <c r="M1" s="268">
        <v>12</v>
      </c>
      <c r="N1" s="156">
        <v>13</v>
      </c>
      <c r="O1" s="268">
        <v>14</v>
      </c>
      <c r="P1" s="156">
        <v>15</v>
      </c>
      <c r="Q1" s="268">
        <v>16</v>
      </c>
      <c r="R1" s="156">
        <v>17</v>
      </c>
      <c r="S1" s="268">
        <v>18</v>
      </c>
      <c r="T1" s="156">
        <v>19</v>
      </c>
      <c r="U1" s="268">
        <v>20</v>
      </c>
      <c r="V1" s="156">
        <v>21</v>
      </c>
      <c r="W1" s="268">
        <v>22</v>
      </c>
      <c r="X1" s="156">
        <v>23</v>
      </c>
      <c r="Y1" s="268">
        <v>24</v>
      </c>
      <c r="Z1" s="156">
        <v>25</v>
      </c>
      <c r="AA1" s="268">
        <v>26</v>
      </c>
      <c r="AB1" s="156">
        <v>27</v>
      </c>
      <c r="AC1" s="268">
        <v>28</v>
      </c>
      <c r="AD1" s="156">
        <v>29</v>
      </c>
      <c r="AE1" s="268">
        <v>30</v>
      </c>
      <c r="AF1" s="156">
        <v>31</v>
      </c>
      <c r="AG1" s="478">
        <v>32</v>
      </c>
      <c r="AH1" s="156">
        <v>33</v>
      </c>
      <c r="AI1" s="268">
        <v>34</v>
      </c>
      <c r="AJ1" s="156">
        <v>35</v>
      </c>
      <c r="AK1" s="268">
        <v>36</v>
      </c>
      <c r="AL1" s="156">
        <v>37</v>
      </c>
      <c r="AM1" s="268">
        <v>38</v>
      </c>
      <c r="AN1" s="156">
        <v>39</v>
      </c>
      <c r="AO1" s="329">
        <v>2023</v>
      </c>
      <c r="AP1" s="268">
        <v>41</v>
      </c>
      <c r="AQ1" s="456">
        <v>42</v>
      </c>
      <c r="AR1" s="456">
        <v>43</v>
      </c>
      <c r="AS1" s="268">
        <v>44</v>
      </c>
      <c r="AT1" s="268">
        <v>45</v>
      </c>
      <c r="AU1" s="456">
        <v>46</v>
      </c>
      <c r="AV1" s="268">
        <v>47</v>
      </c>
      <c r="AW1" s="268">
        <v>48</v>
      </c>
      <c r="AX1" s="268">
        <v>49</v>
      </c>
      <c r="AY1" s="268">
        <v>50</v>
      </c>
      <c r="AZ1" s="268">
        <v>51</v>
      </c>
      <c r="BA1" s="268">
        <v>52</v>
      </c>
      <c r="BB1" s="268">
        <v>53</v>
      </c>
      <c r="BC1" s="268">
        <v>54</v>
      </c>
      <c r="BD1" s="268">
        <v>55</v>
      </c>
      <c r="BE1" s="268">
        <v>56</v>
      </c>
      <c r="BF1" s="456">
        <v>57</v>
      </c>
      <c r="BG1" s="268">
        <v>58</v>
      </c>
      <c r="BH1" s="268">
        <v>59</v>
      </c>
      <c r="BI1" s="268">
        <v>60</v>
      </c>
      <c r="BJ1" s="268">
        <v>61</v>
      </c>
      <c r="BK1" s="268">
        <v>62</v>
      </c>
      <c r="BL1" s="268">
        <v>63</v>
      </c>
      <c r="BM1" s="268">
        <v>64</v>
      </c>
      <c r="BN1" s="268">
        <v>65</v>
      </c>
      <c r="BO1" s="456">
        <v>66</v>
      </c>
      <c r="BP1" s="268">
        <v>67</v>
      </c>
      <c r="BQ1" s="268">
        <v>68</v>
      </c>
      <c r="BR1" s="278">
        <v>69</v>
      </c>
      <c r="BS1" s="278">
        <v>70</v>
      </c>
      <c r="BT1" s="278">
        <v>71</v>
      </c>
      <c r="BU1" s="278">
        <v>72</v>
      </c>
      <c r="BV1" s="268">
        <v>73</v>
      </c>
      <c r="BW1" s="456">
        <v>74</v>
      </c>
      <c r="BX1" s="268">
        <v>75</v>
      </c>
      <c r="BY1" s="480">
        <v>76</v>
      </c>
      <c r="BZ1" s="480">
        <v>77</v>
      </c>
      <c r="CA1" s="259">
        <v>78</v>
      </c>
      <c r="CB1" s="288" t="s">
        <v>411</v>
      </c>
      <c r="CC1" s="485" t="s">
        <v>411</v>
      </c>
      <c r="CD1" s="286">
        <v>81</v>
      </c>
      <c r="CE1" s="156">
        <v>82</v>
      </c>
      <c r="CF1" s="286">
        <v>83</v>
      </c>
      <c r="CG1" s="156">
        <v>84</v>
      </c>
      <c r="CH1" s="286">
        <v>85</v>
      </c>
      <c r="CI1" s="156">
        <v>86</v>
      </c>
      <c r="CJ1" s="155">
        <v>2024</v>
      </c>
      <c r="CK1" s="155">
        <v>2025</v>
      </c>
      <c r="CL1" s="155">
        <v>2026</v>
      </c>
      <c r="CM1" s="155">
        <v>2027</v>
      </c>
      <c r="CN1" s="155">
        <v>2028</v>
      </c>
      <c r="CO1" s="494" t="s">
        <v>462</v>
      </c>
      <c r="CP1" s="268">
        <v>93</v>
      </c>
      <c r="CQ1" s="532">
        <v>2022</v>
      </c>
      <c r="CR1" s="532">
        <v>2023</v>
      </c>
    </row>
    <row r="2" spans="1:96" s="146" customFormat="1" x14ac:dyDescent="0.2">
      <c r="A2" s="154" t="s">
        <v>36</v>
      </c>
      <c r="B2" s="156" t="s">
        <v>37</v>
      </c>
      <c r="C2" s="281" t="s">
        <v>386</v>
      </c>
      <c r="D2" s="160" t="s">
        <v>3</v>
      </c>
      <c r="E2" s="279" t="s">
        <v>28</v>
      </c>
      <c r="F2" s="161" t="s">
        <v>29</v>
      </c>
      <c r="G2" s="162" t="s">
        <v>451</v>
      </c>
      <c r="H2" s="163" t="s">
        <v>5</v>
      </c>
      <c r="I2" s="159" t="s">
        <v>15</v>
      </c>
      <c r="J2" s="161" t="s">
        <v>13</v>
      </c>
      <c r="K2" s="161" t="s">
        <v>1</v>
      </c>
      <c r="L2" s="161" t="s">
        <v>2</v>
      </c>
      <c r="M2" s="162" t="s">
        <v>6</v>
      </c>
      <c r="N2" s="163" t="s">
        <v>7</v>
      </c>
      <c r="O2" s="159" t="s">
        <v>8</v>
      </c>
      <c r="P2" s="159" t="s">
        <v>10</v>
      </c>
      <c r="Q2" s="159" t="s">
        <v>9</v>
      </c>
      <c r="R2" s="159" t="s">
        <v>11</v>
      </c>
      <c r="S2" s="162" t="s">
        <v>12</v>
      </c>
      <c r="T2" s="164" t="s">
        <v>31</v>
      </c>
      <c r="U2" s="159" t="s">
        <v>16</v>
      </c>
      <c r="V2" s="280" t="s">
        <v>384</v>
      </c>
      <c r="W2" s="280" t="s">
        <v>385</v>
      </c>
      <c r="X2" s="160" t="s">
        <v>20</v>
      </c>
      <c r="Y2" s="165" t="s">
        <v>25</v>
      </c>
      <c r="Z2" s="165" t="s">
        <v>26</v>
      </c>
      <c r="AA2" s="165" t="s">
        <v>27</v>
      </c>
      <c r="AB2" s="160" t="s">
        <v>17</v>
      </c>
      <c r="AC2" s="156" t="s">
        <v>30</v>
      </c>
      <c r="AD2" s="162" t="s">
        <v>374</v>
      </c>
      <c r="AE2" s="477" t="s">
        <v>456</v>
      </c>
      <c r="AF2" s="159" t="s">
        <v>363</v>
      </c>
      <c r="AG2" s="160" t="s">
        <v>404</v>
      </c>
      <c r="AH2" s="166" t="s">
        <v>405</v>
      </c>
      <c r="AI2" s="167" t="s">
        <v>406</v>
      </c>
      <c r="AJ2" s="168" t="s">
        <v>401</v>
      </c>
      <c r="AK2" s="164" t="s">
        <v>30</v>
      </c>
      <c r="AL2" s="162" t="s">
        <v>400</v>
      </c>
      <c r="AM2" s="454" t="s">
        <v>390</v>
      </c>
      <c r="AN2" s="455" t="s">
        <v>372</v>
      </c>
      <c r="AO2" s="330" t="s">
        <v>387</v>
      </c>
      <c r="AP2" s="160" t="s">
        <v>3</v>
      </c>
      <c r="AQ2" s="457" t="s">
        <v>28</v>
      </c>
      <c r="AR2" s="457" t="s">
        <v>29</v>
      </c>
      <c r="AS2" s="162" t="s">
        <v>450</v>
      </c>
      <c r="AT2" s="163" t="s">
        <v>5</v>
      </c>
      <c r="AU2" s="458" t="s">
        <v>15</v>
      </c>
      <c r="AV2" s="470" t="s">
        <v>13</v>
      </c>
      <c r="AW2" s="470" t="s">
        <v>1</v>
      </c>
      <c r="AX2" s="470" t="s">
        <v>2</v>
      </c>
      <c r="AY2" s="162" t="s">
        <v>6</v>
      </c>
      <c r="AZ2" s="163" t="s">
        <v>323</v>
      </c>
      <c r="BA2" s="471" t="s">
        <v>8</v>
      </c>
      <c r="BB2" s="471" t="s">
        <v>10</v>
      </c>
      <c r="BC2" s="471" t="s">
        <v>9</v>
      </c>
      <c r="BD2" s="471" t="s">
        <v>11</v>
      </c>
      <c r="BE2" s="162" t="s">
        <v>12</v>
      </c>
      <c r="BF2" s="459" t="s">
        <v>31</v>
      </c>
      <c r="BG2" s="471" t="s">
        <v>16</v>
      </c>
      <c r="BH2" s="280" t="s">
        <v>384</v>
      </c>
      <c r="BI2" s="280" t="s">
        <v>385</v>
      </c>
      <c r="BJ2" s="160" t="s">
        <v>20</v>
      </c>
      <c r="BK2" s="280" t="s">
        <v>25</v>
      </c>
      <c r="BL2" s="280" t="s">
        <v>26</v>
      </c>
      <c r="BM2" s="280" t="s">
        <v>27</v>
      </c>
      <c r="BN2" s="160" t="s">
        <v>17</v>
      </c>
      <c r="BO2" s="456" t="s">
        <v>30</v>
      </c>
      <c r="BP2" s="162" t="s">
        <v>374</v>
      </c>
      <c r="BQ2" s="477" t="s">
        <v>456</v>
      </c>
      <c r="BR2" s="473" t="s">
        <v>363</v>
      </c>
      <c r="BS2" s="473" t="s">
        <v>404</v>
      </c>
      <c r="BT2" s="300" t="s">
        <v>405</v>
      </c>
      <c r="BU2" s="474" t="s">
        <v>406</v>
      </c>
      <c r="BV2" s="479" t="s">
        <v>457</v>
      </c>
      <c r="BW2" s="459" t="s">
        <v>30</v>
      </c>
      <c r="BX2" s="162" t="s">
        <v>21</v>
      </c>
      <c r="BY2" s="481" t="s">
        <v>390</v>
      </c>
      <c r="BZ2" s="482" t="s">
        <v>372</v>
      </c>
      <c r="CA2" s="259"/>
      <c r="CB2" s="288">
        <v>2024</v>
      </c>
      <c r="CC2" s="485">
        <v>2025</v>
      </c>
      <c r="CD2" s="286"/>
      <c r="CE2" s="156"/>
      <c r="CF2" s="156" t="s">
        <v>324</v>
      </c>
      <c r="CG2" s="156" t="s">
        <v>355</v>
      </c>
      <c r="CH2" s="156" t="s">
        <v>324</v>
      </c>
      <c r="CI2" s="158" t="s">
        <v>381</v>
      </c>
      <c r="CJ2" s="155" t="s">
        <v>323</v>
      </c>
      <c r="CK2" s="291" t="s">
        <v>323</v>
      </c>
      <c r="CL2" s="291" t="s">
        <v>323</v>
      </c>
      <c r="CM2" s="291" t="s">
        <v>323</v>
      </c>
      <c r="CN2" s="291" t="s">
        <v>323</v>
      </c>
      <c r="CO2" s="494" t="s">
        <v>461</v>
      </c>
      <c r="CQ2" s="533" t="s">
        <v>471</v>
      </c>
      <c r="CR2" s="533" t="s">
        <v>471</v>
      </c>
    </row>
    <row r="3" spans="1:96" x14ac:dyDescent="0.2">
      <c r="A3" s="277">
        <v>20</v>
      </c>
      <c r="B3" s="268" t="s">
        <v>318</v>
      </c>
      <c r="C3" s="337">
        <v>16473</v>
      </c>
      <c r="D3" s="276">
        <v>22</v>
      </c>
      <c r="E3" s="268"/>
      <c r="F3" s="268"/>
      <c r="G3" s="278">
        <v>23888.967980000001</v>
      </c>
      <c r="H3" s="278">
        <v>126066.88182</v>
      </c>
      <c r="I3" s="278"/>
      <c r="J3" s="278">
        <v>62911.296040000001</v>
      </c>
      <c r="K3" s="278">
        <v>2663.49712</v>
      </c>
      <c r="L3" s="278">
        <v>3824.35581</v>
      </c>
      <c r="M3" s="278">
        <v>69399.148969999995</v>
      </c>
      <c r="N3" s="278">
        <v>35933.279999999999</v>
      </c>
      <c r="O3" s="278">
        <v>341.69051000000002</v>
      </c>
      <c r="P3" s="278">
        <v>832.30822000000001</v>
      </c>
      <c r="Q3" s="278">
        <v>496.08812</v>
      </c>
      <c r="R3" s="278">
        <v>-5.1636199999999999</v>
      </c>
      <c r="S3" s="278">
        <v>3165.1491599999999</v>
      </c>
      <c r="T3" s="268"/>
      <c r="U3" s="278">
        <v>4662.7954300000001</v>
      </c>
      <c r="V3" s="278">
        <v>57.668300000000002</v>
      </c>
      <c r="W3" s="278">
        <v>0</v>
      </c>
      <c r="X3" s="278">
        <v>-1439.9779699999999</v>
      </c>
      <c r="Y3" s="278">
        <v>-2.6667700000000001</v>
      </c>
      <c r="Z3" s="278">
        <v>0</v>
      </c>
      <c r="AA3" s="278">
        <v>0</v>
      </c>
      <c r="AB3" s="278">
        <v>-1437.3111999999999</v>
      </c>
      <c r="AC3" s="268"/>
      <c r="AD3" s="278">
        <v>484.17808000000008</v>
      </c>
      <c r="AE3" s="318">
        <v>2782.52072</v>
      </c>
      <c r="AF3" s="278">
        <v>-440.29674</v>
      </c>
      <c r="AG3" s="278">
        <v>-23644.833480000001</v>
      </c>
      <c r="AH3" s="278">
        <v>528.25933999999995</v>
      </c>
      <c r="AI3" s="278">
        <v>1156.0472500000001</v>
      </c>
      <c r="AJ3" s="278">
        <v>4597.7645599999996</v>
      </c>
      <c r="AK3" s="268"/>
      <c r="AL3" s="278">
        <v>81662.728049999991</v>
      </c>
      <c r="AM3" s="278">
        <v>0</v>
      </c>
      <c r="AN3" s="278">
        <v>13105.21912</v>
      </c>
      <c r="AO3" s="337">
        <v>16405</v>
      </c>
      <c r="AP3" s="344">
        <v>9.36</v>
      </c>
      <c r="AQ3" s="460"/>
      <c r="AR3" s="460"/>
      <c r="AS3" s="469">
        <v>7505.3104699999994</v>
      </c>
      <c r="AT3" s="278">
        <v>47969.816140000003</v>
      </c>
      <c r="AU3" s="461"/>
      <c r="AV3" s="278">
        <v>33084.79279</v>
      </c>
      <c r="AW3" s="278">
        <v>1980.5846999999999</v>
      </c>
      <c r="AX3" s="278">
        <v>3880.7251200000001</v>
      </c>
      <c r="AY3" s="278">
        <v>38946.102610000002</v>
      </c>
      <c r="AZ3" s="278">
        <v>9625.046769999999</v>
      </c>
      <c r="BA3" s="278">
        <v>491.97828999999996</v>
      </c>
      <c r="BB3" s="278">
        <v>2216.1161000000002</v>
      </c>
      <c r="BC3" s="278">
        <v>277.03214000000003</v>
      </c>
      <c r="BD3" s="278">
        <v>52.297239999999995</v>
      </c>
      <c r="BE3" s="278">
        <v>6607.2407999999996</v>
      </c>
      <c r="BG3" s="278">
        <v>6008.6858099999999</v>
      </c>
      <c r="BH3" s="278">
        <v>0</v>
      </c>
      <c r="BI3" s="278">
        <v>0</v>
      </c>
      <c r="BJ3" s="278">
        <v>598.55498999999998</v>
      </c>
      <c r="BK3" s="278">
        <v>-2.2667600000000001</v>
      </c>
      <c r="BL3" s="278">
        <v>0</v>
      </c>
      <c r="BM3" s="278">
        <v>0</v>
      </c>
      <c r="BN3" s="278">
        <v>600.82174999999995</v>
      </c>
      <c r="BP3" s="278">
        <v>1084.99983</v>
      </c>
      <c r="BQ3" s="318">
        <v>6499.98513</v>
      </c>
      <c r="BR3" s="278">
        <v>-107.25566999999999</v>
      </c>
      <c r="BS3" s="278">
        <v>-13723.76353</v>
      </c>
      <c r="BT3" s="278">
        <v>13.2425</v>
      </c>
      <c r="BU3" s="278">
        <v>145.78028</v>
      </c>
      <c r="BV3" s="278">
        <v>-123.46744</v>
      </c>
      <c r="BX3" s="278">
        <v>91054.925480000005</v>
      </c>
      <c r="BY3" s="483">
        <v>420</v>
      </c>
      <c r="BZ3" s="483">
        <v>9392.1974300000002</v>
      </c>
      <c r="CA3" s="327"/>
      <c r="CB3" s="347">
        <v>9.9</v>
      </c>
      <c r="CC3" s="486">
        <f>CB3</f>
        <v>9.9</v>
      </c>
      <c r="CD3" s="287"/>
      <c r="CE3" s="278"/>
      <c r="CF3" s="268"/>
      <c r="CG3" s="268"/>
      <c r="CH3" s="268"/>
      <c r="CI3" s="268">
        <v>0</v>
      </c>
      <c r="CJ3" s="278">
        <v>5745.7906326070961</v>
      </c>
      <c r="CK3" s="278">
        <v>6390.2456853602062</v>
      </c>
      <c r="CL3" s="343">
        <v>6710.8624538460308</v>
      </c>
      <c r="CM3" s="487">
        <v>6985.4405285782459</v>
      </c>
      <c r="CN3" s="487">
        <v>7936.1584948985756</v>
      </c>
      <c r="CO3" s="495">
        <v>-2390.8609999999999</v>
      </c>
      <c r="CP3" s="299"/>
      <c r="CQ3" s="489">
        <v>0</v>
      </c>
      <c r="CR3" s="489">
        <v>0</v>
      </c>
    </row>
    <row r="4" spans="1:96" x14ac:dyDescent="0.2">
      <c r="A4" s="172">
        <v>5</v>
      </c>
      <c r="B4" s="171" t="s">
        <v>38</v>
      </c>
      <c r="C4" s="337">
        <v>9183</v>
      </c>
      <c r="D4" s="276">
        <v>21.75</v>
      </c>
      <c r="E4" s="185"/>
      <c r="F4" s="171"/>
      <c r="G4" s="278">
        <v>46334.500719999996</v>
      </c>
      <c r="H4" s="278">
        <v>113421.69095999999</v>
      </c>
      <c r="I4" s="278"/>
      <c r="J4" s="278">
        <v>26872.7009</v>
      </c>
      <c r="K4" s="278">
        <v>3231.5692000000004</v>
      </c>
      <c r="L4" s="278">
        <v>2375.0836200000003</v>
      </c>
      <c r="M4" s="278">
        <v>32479.353719999999</v>
      </c>
      <c r="N4" s="278">
        <v>39080.69485</v>
      </c>
      <c r="O4" s="278">
        <v>11.40849</v>
      </c>
      <c r="P4" s="278">
        <v>0</v>
      </c>
      <c r="Q4" s="278">
        <v>306.89940999999999</v>
      </c>
      <c r="R4" s="278">
        <v>302.82476000000003</v>
      </c>
      <c r="S4" s="278">
        <v>4488.3414699999994</v>
      </c>
      <c r="T4" s="171"/>
      <c r="U4" s="278">
        <v>3848.1423199999999</v>
      </c>
      <c r="V4" s="278">
        <v>0</v>
      </c>
      <c r="W4" s="278">
        <v>0</v>
      </c>
      <c r="X4" s="278">
        <v>640.19915000000003</v>
      </c>
      <c r="Y4" s="278">
        <v>0</v>
      </c>
      <c r="Z4" s="278">
        <v>0</v>
      </c>
      <c r="AA4" s="278">
        <v>0</v>
      </c>
      <c r="AB4" s="278">
        <v>640.19915000000003</v>
      </c>
      <c r="AC4" s="171"/>
      <c r="AD4" s="278">
        <v>9331.2712699999993</v>
      </c>
      <c r="AE4" s="157">
        <v>4362.1742000000004</v>
      </c>
      <c r="AF4" s="184">
        <v>-126.16727</v>
      </c>
      <c r="AG4" s="278">
        <v>-4156.8616899999997</v>
      </c>
      <c r="AH4" s="278">
        <v>394.10199999999998</v>
      </c>
      <c r="AI4" s="184">
        <v>473.16838999999999</v>
      </c>
      <c r="AJ4" s="278">
        <v>4497.5449400000007</v>
      </c>
      <c r="AK4" s="171"/>
      <c r="AL4" s="278">
        <v>24975.492999999999</v>
      </c>
      <c r="AM4" s="184">
        <v>6.8956999999999997</v>
      </c>
      <c r="AN4" s="278">
        <v>-4444.4309999999996</v>
      </c>
      <c r="AO4" s="355">
        <v>9113</v>
      </c>
      <c r="AP4" s="344">
        <v>9.11</v>
      </c>
      <c r="AQ4" s="462"/>
      <c r="AR4" s="463"/>
      <c r="AS4" s="469">
        <v>15112.075869999999</v>
      </c>
      <c r="AT4" s="278">
        <v>40948.266369999998</v>
      </c>
      <c r="AU4" s="464"/>
      <c r="AV4" s="346">
        <v>13866.599310000001</v>
      </c>
      <c r="AW4" s="346">
        <v>2299.9638399999999</v>
      </c>
      <c r="AX4" s="346">
        <v>2454.07861</v>
      </c>
      <c r="AY4" s="346">
        <v>18620.641760000002</v>
      </c>
      <c r="AZ4" s="346">
        <v>14800.415140000001</v>
      </c>
      <c r="BA4" s="278">
        <v>27.749020000000002</v>
      </c>
      <c r="BB4" s="345">
        <v>0</v>
      </c>
      <c r="BC4" s="278">
        <v>207.64995999999999</v>
      </c>
      <c r="BD4" s="278">
        <v>358.89890000000003</v>
      </c>
      <c r="BE4" s="346">
        <v>7461.3664800000006</v>
      </c>
      <c r="BF4" s="463"/>
      <c r="BG4" s="343">
        <v>4066.5006100000001</v>
      </c>
      <c r="BH4" s="343">
        <v>0</v>
      </c>
      <c r="BI4" s="343">
        <v>0</v>
      </c>
      <c r="BJ4" s="346">
        <v>3394.8658700000001</v>
      </c>
      <c r="BK4" s="343">
        <v>0</v>
      </c>
      <c r="BL4" s="343">
        <v>0</v>
      </c>
      <c r="BM4" s="343">
        <v>0</v>
      </c>
      <c r="BN4" s="346">
        <v>3394.8658700000001</v>
      </c>
      <c r="BO4" s="463"/>
      <c r="BP4" s="346">
        <v>12726.137139999999</v>
      </c>
      <c r="BQ4" s="318">
        <v>7411.00828</v>
      </c>
      <c r="BR4" s="278">
        <v>-50.358199999999997</v>
      </c>
      <c r="BS4" s="475">
        <v>-2713.7330899999997</v>
      </c>
      <c r="BT4" s="278">
        <v>0</v>
      </c>
      <c r="BU4" s="278">
        <v>52.21</v>
      </c>
      <c r="BV4" s="345">
        <v>5262.7228299999997</v>
      </c>
      <c r="BW4" s="463"/>
      <c r="BX4" s="278">
        <v>24462.649000000001</v>
      </c>
      <c r="BY4" s="483">
        <v>48.217199999999998</v>
      </c>
      <c r="BZ4" s="483">
        <v>-512.84400000000005</v>
      </c>
      <c r="CA4" s="260"/>
      <c r="CB4" s="347">
        <v>9.1</v>
      </c>
      <c r="CC4" s="486">
        <f t="shared" ref="CC4:CC67" si="0">CB4</f>
        <v>9.1</v>
      </c>
      <c r="CD4" s="287"/>
      <c r="CE4" s="278"/>
      <c r="CF4" s="268"/>
      <c r="CG4" s="171"/>
      <c r="CI4" s="158">
        <v>0</v>
      </c>
      <c r="CJ4" s="343">
        <v>13619.441302534708</v>
      </c>
      <c r="CK4" s="343">
        <v>14142.016006259295</v>
      </c>
      <c r="CL4" s="343">
        <v>13908.238956430339</v>
      </c>
      <c r="CM4" s="487">
        <v>13914.005086179322</v>
      </c>
      <c r="CN4" s="487">
        <v>14796.259030714402</v>
      </c>
      <c r="CO4" s="495">
        <v>1369.837</v>
      </c>
      <c r="CP4" s="299"/>
      <c r="CQ4" s="489">
        <v>0</v>
      </c>
      <c r="CR4" s="489">
        <v>0</v>
      </c>
    </row>
    <row r="5" spans="1:96" x14ac:dyDescent="0.2">
      <c r="A5" s="154">
        <v>9</v>
      </c>
      <c r="B5" s="156" t="s">
        <v>39</v>
      </c>
      <c r="C5" s="337">
        <v>2447</v>
      </c>
      <c r="D5" s="276">
        <v>22</v>
      </c>
      <c r="E5" s="185"/>
      <c r="G5" s="278">
        <v>2801.2947200000003</v>
      </c>
      <c r="H5" s="278">
        <v>19875.14285</v>
      </c>
      <c r="I5" s="278"/>
      <c r="J5" s="278">
        <v>7872.1357300000009</v>
      </c>
      <c r="K5" s="278">
        <v>442.59866999999997</v>
      </c>
      <c r="L5" s="278">
        <v>783.89562000000001</v>
      </c>
      <c r="M5" s="278">
        <v>9098.6300199999987</v>
      </c>
      <c r="N5" s="278">
        <v>10638.034</v>
      </c>
      <c r="O5" s="278">
        <v>381.72775999999999</v>
      </c>
      <c r="P5" s="278">
        <v>40.349050000000005</v>
      </c>
      <c r="Q5" s="278">
        <v>23.30565</v>
      </c>
      <c r="R5" s="278">
        <v>214.53073000000001</v>
      </c>
      <c r="S5" s="278">
        <v>2812.9695200000001</v>
      </c>
      <c r="U5" s="278">
        <v>815.50556999999992</v>
      </c>
      <c r="V5" s="278">
        <v>0</v>
      </c>
      <c r="W5" s="278">
        <v>0</v>
      </c>
      <c r="X5" s="278">
        <v>1997.4639499999998</v>
      </c>
      <c r="Y5" s="278">
        <v>0</v>
      </c>
      <c r="Z5" s="278">
        <v>0</v>
      </c>
      <c r="AA5" s="278">
        <v>0</v>
      </c>
      <c r="AB5" s="278">
        <v>1997.4639499999998</v>
      </c>
      <c r="AD5" s="278">
        <v>4840.6002699999999</v>
      </c>
      <c r="AE5" s="157">
        <v>2864.1480799999999</v>
      </c>
      <c r="AF5" s="184">
        <v>51.178559999999997</v>
      </c>
      <c r="AG5" s="278">
        <v>-975.31451000000004</v>
      </c>
      <c r="AH5" s="278">
        <v>3.3969899999999997</v>
      </c>
      <c r="AI5" s="184">
        <v>45.898769999999999</v>
      </c>
      <c r="AJ5" s="278">
        <v>5740.3420300000007</v>
      </c>
      <c r="AL5" s="278">
        <v>11000</v>
      </c>
      <c r="AM5" s="184">
        <v>-181.2</v>
      </c>
      <c r="AN5" s="278">
        <v>-236.26230999999999</v>
      </c>
      <c r="AO5" s="355">
        <v>2437</v>
      </c>
      <c r="AP5" s="344">
        <v>9.36</v>
      </c>
      <c r="AQ5" s="462"/>
      <c r="AS5" s="469">
        <v>2571.7532500000002</v>
      </c>
      <c r="AT5" s="278">
        <v>9647.9118500000004</v>
      </c>
      <c r="AU5" s="464"/>
      <c r="AV5" s="346">
        <v>3888.28253</v>
      </c>
      <c r="AW5" s="346">
        <v>256.39553000000001</v>
      </c>
      <c r="AX5" s="346">
        <v>786.91356000000007</v>
      </c>
      <c r="AY5" s="346">
        <v>4931.5916200000001</v>
      </c>
      <c r="AZ5" s="346">
        <v>3690.6019999999999</v>
      </c>
      <c r="BA5" s="278">
        <v>60.10172</v>
      </c>
      <c r="BB5" s="345">
        <v>288.81563</v>
      </c>
      <c r="BC5" s="278">
        <v>239.21592999999999</v>
      </c>
      <c r="BD5" s="278">
        <v>31.87689</v>
      </c>
      <c r="BE5" s="346">
        <v>1524.6601499999999</v>
      </c>
      <c r="BG5" s="343">
        <v>865.50533999999993</v>
      </c>
      <c r="BH5" s="343">
        <v>0</v>
      </c>
      <c r="BI5" s="343">
        <v>0</v>
      </c>
      <c r="BJ5" s="346">
        <v>659.15481000000011</v>
      </c>
      <c r="BK5" s="343">
        <v>0</v>
      </c>
      <c r="BL5" s="343">
        <v>0</v>
      </c>
      <c r="BM5" s="343">
        <v>0</v>
      </c>
      <c r="BN5" s="346">
        <v>659.15481000000011</v>
      </c>
      <c r="BP5" s="346">
        <v>5499.7550799999999</v>
      </c>
      <c r="BQ5" s="318">
        <v>1524.6601499999999</v>
      </c>
      <c r="BR5" s="278">
        <v>0</v>
      </c>
      <c r="BS5" s="475">
        <v>-1691.4806100000001</v>
      </c>
      <c r="BT5" s="278">
        <v>0</v>
      </c>
      <c r="BU5" s="278">
        <v>765.09081000000003</v>
      </c>
      <c r="BV5" s="345">
        <v>4651.3579900000004</v>
      </c>
      <c r="BX5" s="278">
        <v>9000</v>
      </c>
      <c r="BY5" s="483">
        <v>-28.7</v>
      </c>
      <c r="BZ5" s="483">
        <v>-2064.3899000000001</v>
      </c>
      <c r="CA5" s="260"/>
      <c r="CB5" s="347">
        <v>9.3000000000000007</v>
      </c>
      <c r="CC5" s="486">
        <f t="shared" si="0"/>
        <v>9.3000000000000007</v>
      </c>
      <c r="CD5" s="287"/>
      <c r="CE5" s="278"/>
      <c r="CF5" s="268"/>
      <c r="CI5" s="158">
        <v>0</v>
      </c>
      <c r="CJ5" s="343">
        <v>3662.0999042440071</v>
      </c>
      <c r="CK5" s="343">
        <v>3822.7637339152016</v>
      </c>
      <c r="CL5" s="343">
        <v>3694.4842474767238</v>
      </c>
      <c r="CM5" s="487">
        <v>3771.6227893680853</v>
      </c>
      <c r="CN5" s="487">
        <v>4035.4347189886048</v>
      </c>
      <c r="CO5" s="495">
        <v>-461.572</v>
      </c>
      <c r="CP5" s="299"/>
      <c r="CQ5" s="489">
        <v>0</v>
      </c>
      <c r="CR5" s="489">
        <v>0</v>
      </c>
    </row>
    <row r="6" spans="1:96" x14ac:dyDescent="0.2">
      <c r="A6" s="154">
        <v>10</v>
      </c>
      <c r="B6" s="156" t="s">
        <v>40</v>
      </c>
      <c r="C6" s="337">
        <v>11102</v>
      </c>
      <c r="D6" s="276">
        <v>21.25</v>
      </c>
      <c r="E6" s="185"/>
      <c r="G6" s="278">
        <v>10973.05804</v>
      </c>
      <c r="H6" s="278">
        <v>90798.662909999999</v>
      </c>
      <c r="I6" s="278"/>
      <c r="J6" s="278">
        <v>30819.23618</v>
      </c>
      <c r="K6" s="278">
        <v>4217.3695800000005</v>
      </c>
      <c r="L6" s="278">
        <v>2722.9732000000004</v>
      </c>
      <c r="M6" s="278">
        <v>37759.578959999999</v>
      </c>
      <c r="N6" s="278">
        <v>45138.767</v>
      </c>
      <c r="O6" s="278">
        <v>167.54751999999999</v>
      </c>
      <c r="P6" s="278">
        <v>298.48225000000002</v>
      </c>
      <c r="Q6" s="278">
        <v>979.78952000000004</v>
      </c>
      <c r="R6" s="278">
        <v>1789.6560300000001</v>
      </c>
      <c r="S6" s="278">
        <v>2389.1199500000002</v>
      </c>
      <c r="U6" s="278">
        <v>4439.9894999999997</v>
      </c>
      <c r="V6" s="278">
        <v>0</v>
      </c>
      <c r="W6" s="278">
        <v>0</v>
      </c>
      <c r="X6" s="278">
        <v>-2050.8695499999999</v>
      </c>
      <c r="Y6" s="278">
        <v>0</v>
      </c>
      <c r="Z6" s="278">
        <v>0</v>
      </c>
      <c r="AA6" s="278">
        <v>0</v>
      </c>
      <c r="AB6" s="278">
        <v>-2050.8695499999999</v>
      </c>
      <c r="AD6" s="278">
        <v>16971.677259999997</v>
      </c>
      <c r="AE6" s="157">
        <v>2125.9199700000004</v>
      </c>
      <c r="AF6" s="184">
        <v>-263.19997999999998</v>
      </c>
      <c r="AG6" s="278">
        <v>-10030.14149</v>
      </c>
      <c r="AH6" s="278">
        <v>440.52447999999998</v>
      </c>
      <c r="AI6" s="184">
        <v>372.17700000000002</v>
      </c>
      <c r="AJ6" s="278">
        <v>27836.751949999998</v>
      </c>
      <c r="AL6" s="278">
        <v>56443.387000000002</v>
      </c>
      <c r="AM6" s="184">
        <v>248.71308999999999</v>
      </c>
      <c r="AN6" s="278">
        <v>3943.692</v>
      </c>
      <c r="AO6" s="355">
        <v>10933</v>
      </c>
      <c r="AP6" s="344">
        <v>8.61</v>
      </c>
      <c r="AQ6" s="462"/>
      <c r="AS6" s="469">
        <v>9995.2627300000004</v>
      </c>
      <c r="AT6" s="278">
        <v>39122.003280000004</v>
      </c>
      <c r="AU6" s="464"/>
      <c r="AV6" s="346">
        <v>15177.962680000001</v>
      </c>
      <c r="AW6" s="346">
        <v>2552.0279799999998</v>
      </c>
      <c r="AX6" s="346">
        <v>3162.5322500000002</v>
      </c>
      <c r="AY6" s="346">
        <v>20892.52291</v>
      </c>
      <c r="AZ6" s="346">
        <v>12378.599</v>
      </c>
      <c r="BA6" s="278">
        <v>344.67915999999997</v>
      </c>
      <c r="BB6" s="345">
        <v>1188.65173</v>
      </c>
      <c r="BC6" s="278">
        <v>1659.2938000000001</v>
      </c>
      <c r="BD6" s="278">
        <v>227.50842</v>
      </c>
      <c r="BE6" s="346">
        <v>4956.5960100000002</v>
      </c>
      <c r="BG6" s="343">
        <v>4800.0612000000001</v>
      </c>
      <c r="BH6" s="343">
        <v>0</v>
      </c>
      <c r="BI6" s="343">
        <v>1081.8143799999998</v>
      </c>
      <c r="BJ6" s="346">
        <v>-925.27956999999992</v>
      </c>
      <c r="BK6" s="343">
        <v>0</v>
      </c>
      <c r="BL6" s="343">
        <v>0</v>
      </c>
      <c r="BM6" s="343">
        <v>0</v>
      </c>
      <c r="BN6" s="346">
        <v>-925.27956999999992</v>
      </c>
      <c r="BP6" s="346">
        <v>16046.39769</v>
      </c>
      <c r="BQ6" s="318">
        <v>4043.5532599999997</v>
      </c>
      <c r="BR6" s="278">
        <v>168.77163000000002</v>
      </c>
      <c r="BS6" s="475">
        <v>-13660.603859999999</v>
      </c>
      <c r="BT6" s="278">
        <v>859.85910000000001</v>
      </c>
      <c r="BU6" s="278">
        <v>2644.11528</v>
      </c>
      <c r="BV6" s="345">
        <v>29123.293289999998</v>
      </c>
      <c r="BX6" s="278">
        <v>63261.745840000003</v>
      </c>
      <c r="BY6" s="483">
        <v>316.65552000000002</v>
      </c>
      <c r="BZ6" s="483">
        <v>6818.3588399999999</v>
      </c>
      <c r="CA6" s="260"/>
      <c r="CB6" s="347">
        <v>9.6</v>
      </c>
      <c r="CC6" s="486">
        <f t="shared" si="0"/>
        <v>9.6</v>
      </c>
      <c r="CD6" s="287"/>
      <c r="CE6" s="278"/>
      <c r="CF6" s="268"/>
      <c r="CI6" s="158">
        <v>0</v>
      </c>
      <c r="CJ6" s="343">
        <v>10746.420579329997</v>
      </c>
      <c r="CK6" s="343">
        <v>11848.747682986723</v>
      </c>
      <c r="CL6" s="343">
        <v>12081.112489768755</v>
      </c>
      <c r="CM6" s="487">
        <v>12567.550326147346</v>
      </c>
      <c r="CN6" s="487">
        <v>13906.389487526943</v>
      </c>
      <c r="CO6" s="495">
        <v>-258.19600000000003</v>
      </c>
      <c r="CP6" s="299"/>
      <c r="CQ6" s="489">
        <v>257.18009999999998</v>
      </c>
      <c r="CR6" s="489">
        <v>224.40183999999999</v>
      </c>
    </row>
    <row r="7" spans="1:96" x14ac:dyDescent="0.2">
      <c r="A7" s="154">
        <v>16</v>
      </c>
      <c r="B7" s="156" t="s">
        <v>41</v>
      </c>
      <c r="C7" s="337">
        <v>8014</v>
      </c>
      <c r="D7" s="276">
        <v>20.75</v>
      </c>
      <c r="E7" s="185"/>
      <c r="G7" s="278">
        <v>6494.06682</v>
      </c>
      <c r="H7" s="278">
        <v>58984.817999999999</v>
      </c>
      <c r="I7" s="278"/>
      <c r="J7" s="278">
        <v>27954.874670000001</v>
      </c>
      <c r="K7" s="278">
        <v>2546.5694900000003</v>
      </c>
      <c r="L7" s="278">
        <v>3099.1713500000001</v>
      </c>
      <c r="M7" s="278">
        <v>33600.615509999996</v>
      </c>
      <c r="N7" s="278">
        <v>23134.317999999999</v>
      </c>
      <c r="O7" s="278">
        <v>4.5098599999999998</v>
      </c>
      <c r="P7" s="278">
        <v>36.844610000000003</v>
      </c>
      <c r="Q7" s="278">
        <v>498.40596999999997</v>
      </c>
      <c r="R7" s="278">
        <v>84.10145</v>
      </c>
      <c r="S7" s="278">
        <v>4626.1520999999993</v>
      </c>
      <c r="U7" s="278">
        <v>2306.2383100000002</v>
      </c>
      <c r="V7" s="278">
        <v>0</v>
      </c>
      <c r="W7" s="278">
        <v>0</v>
      </c>
      <c r="X7" s="278">
        <v>2319.9137900000001</v>
      </c>
      <c r="Y7" s="278">
        <v>-94.281679999999994</v>
      </c>
      <c r="Z7" s="278">
        <v>0</v>
      </c>
      <c r="AA7" s="278">
        <v>0</v>
      </c>
      <c r="AB7" s="278">
        <v>2414.1954700000001</v>
      </c>
      <c r="AD7" s="278">
        <v>16039.653990000001</v>
      </c>
      <c r="AE7" s="157">
        <v>4308.97876</v>
      </c>
      <c r="AF7" s="184">
        <v>-317.17334000000005</v>
      </c>
      <c r="AG7" s="278">
        <v>-15045.720710000001</v>
      </c>
      <c r="AH7" s="278">
        <v>77.75</v>
      </c>
      <c r="AI7" s="184">
        <v>64.155239999999992</v>
      </c>
      <c r="AJ7" s="278">
        <v>1041.1493199999998</v>
      </c>
      <c r="AL7" s="278">
        <v>7125.0000000000009</v>
      </c>
      <c r="AM7" s="184">
        <v>0</v>
      </c>
      <c r="AN7" s="278">
        <v>5690.1</v>
      </c>
      <c r="AO7" s="355">
        <v>7968</v>
      </c>
      <c r="AP7" s="344">
        <v>8.11</v>
      </c>
      <c r="AQ7" s="462"/>
      <c r="AS7" s="469">
        <v>6501.0224400000006</v>
      </c>
      <c r="AT7" s="278">
        <v>28170.28098</v>
      </c>
      <c r="AU7" s="464"/>
      <c r="AV7" s="346">
        <v>13354.66186</v>
      </c>
      <c r="AW7" s="346">
        <v>1596.22371</v>
      </c>
      <c r="AX7" s="346">
        <v>3182.3204700000001</v>
      </c>
      <c r="AY7" s="346">
        <v>18133.206039999997</v>
      </c>
      <c r="AZ7" s="346">
        <v>10265.561</v>
      </c>
      <c r="BA7" s="278">
        <v>210.62617</v>
      </c>
      <c r="BB7" s="345">
        <v>123.13639999999999</v>
      </c>
      <c r="BC7" s="278">
        <v>143.25492000000003</v>
      </c>
      <c r="BD7" s="278">
        <v>112.33796000000001</v>
      </c>
      <c r="BE7" s="346">
        <v>6848.9849100000001</v>
      </c>
      <c r="BG7" s="343">
        <v>2956.1155600000002</v>
      </c>
      <c r="BH7" s="343">
        <v>0</v>
      </c>
      <c r="BI7" s="343">
        <v>0</v>
      </c>
      <c r="BJ7" s="346">
        <v>3892.8693499999999</v>
      </c>
      <c r="BK7" s="346">
        <v>-105.06763000000001</v>
      </c>
      <c r="BL7" s="343">
        <v>3500</v>
      </c>
      <c r="BM7" s="343">
        <v>0</v>
      </c>
      <c r="BN7" s="346">
        <v>497.93698000000001</v>
      </c>
      <c r="BP7" s="346">
        <v>16560.54435</v>
      </c>
      <c r="BQ7" s="318">
        <v>7541.5340400000005</v>
      </c>
      <c r="BR7" s="278">
        <v>692.54912999999999</v>
      </c>
      <c r="BS7" s="475">
        <v>-11682.62529</v>
      </c>
      <c r="BT7" s="278">
        <v>480.28453999999999</v>
      </c>
      <c r="BU7" s="278">
        <v>5087.2410099999997</v>
      </c>
      <c r="BV7" s="345">
        <v>399.46767999999997</v>
      </c>
      <c r="BX7" s="278">
        <v>6374.2118099999998</v>
      </c>
      <c r="BY7" s="483">
        <v>0</v>
      </c>
      <c r="BZ7" s="483">
        <v>-750.78818999999999</v>
      </c>
      <c r="CA7" s="260"/>
      <c r="CB7" s="347">
        <v>8.1</v>
      </c>
      <c r="CC7" s="486">
        <f t="shared" si="0"/>
        <v>8.1</v>
      </c>
      <c r="CD7" s="287"/>
      <c r="CE7" s="278"/>
      <c r="CF7" s="268"/>
      <c r="CI7" s="158">
        <v>0</v>
      </c>
      <c r="CJ7" s="343">
        <v>7871.4751422664012</v>
      </c>
      <c r="CK7" s="343">
        <v>8602.0753077615591</v>
      </c>
      <c r="CL7" s="343">
        <v>7598.3410938377165</v>
      </c>
      <c r="CM7" s="487">
        <v>7161.6840279676708</v>
      </c>
      <c r="CN7" s="487">
        <v>8029.749829637758</v>
      </c>
      <c r="CO7" s="495">
        <v>-432.38299999999998</v>
      </c>
      <c r="CP7" s="299"/>
      <c r="CQ7" s="489">
        <v>0</v>
      </c>
      <c r="CR7" s="489">
        <v>1.06968</v>
      </c>
    </row>
    <row r="8" spans="1:96" x14ac:dyDescent="0.2">
      <c r="A8" s="154">
        <v>18</v>
      </c>
      <c r="B8" s="156" t="s">
        <v>42</v>
      </c>
      <c r="C8" s="337">
        <v>4763</v>
      </c>
      <c r="D8" s="276">
        <v>21.5</v>
      </c>
      <c r="E8" s="185"/>
      <c r="G8" s="278">
        <v>5010.7848800000002</v>
      </c>
      <c r="H8" s="278">
        <v>33885.77792</v>
      </c>
      <c r="I8" s="278"/>
      <c r="J8" s="278">
        <v>20014.208589999998</v>
      </c>
      <c r="K8" s="278">
        <v>1652.8688300000001</v>
      </c>
      <c r="L8" s="278">
        <v>1253.31005</v>
      </c>
      <c r="M8" s="278">
        <v>22920.387469999998</v>
      </c>
      <c r="N8" s="278">
        <v>8769.3430000000008</v>
      </c>
      <c r="O8" s="278">
        <v>16.984349999999999</v>
      </c>
      <c r="P8" s="278">
        <v>191.62182999999999</v>
      </c>
      <c r="Q8" s="278">
        <v>430.68344000000002</v>
      </c>
      <c r="R8" s="278">
        <v>651.10656000000006</v>
      </c>
      <c r="S8" s="278">
        <v>2419.6768299999999</v>
      </c>
      <c r="U8" s="278">
        <v>1528.1799099999998</v>
      </c>
      <c r="V8" s="278">
        <v>0</v>
      </c>
      <c r="W8" s="278">
        <v>0</v>
      </c>
      <c r="X8" s="278">
        <v>891.49692000000005</v>
      </c>
      <c r="Y8" s="278">
        <v>0</v>
      </c>
      <c r="Z8" s="278">
        <v>0</v>
      </c>
      <c r="AA8" s="278">
        <v>0</v>
      </c>
      <c r="AB8" s="278">
        <v>891.49692000000005</v>
      </c>
      <c r="AD8" s="278">
        <v>6992.92767</v>
      </c>
      <c r="AE8" s="157">
        <v>2322.8843299999999</v>
      </c>
      <c r="AF8" s="184">
        <v>-96.792500000000004</v>
      </c>
      <c r="AG8" s="278">
        <v>-843.63162999999997</v>
      </c>
      <c r="AH8" s="278">
        <v>0</v>
      </c>
      <c r="AI8" s="184">
        <v>113.64976</v>
      </c>
      <c r="AJ8" s="278">
        <v>9169.2046499999997</v>
      </c>
      <c r="AL8" s="278">
        <v>20699.336490000002</v>
      </c>
      <c r="AM8" s="184">
        <v>0</v>
      </c>
      <c r="AN8" s="278">
        <v>-2773.9046000000003</v>
      </c>
      <c r="AO8" s="355">
        <v>4700</v>
      </c>
      <c r="AP8" s="344">
        <v>8.86</v>
      </c>
      <c r="AQ8" s="462"/>
      <c r="AS8" s="469">
        <v>4017.16741</v>
      </c>
      <c r="AT8" s="278">
        <v>17232.574949999998</v>
      </c>
      <c r="AU8" s="464"/>
      <c r="AV8" s="346">
        <v>9421.46738</v>
      </c>
      <c r="AW8" s="346">
        <v>1152.64824</v>
      </c>
      <c r="AX8" s="346">
        <v>1285.2098899999999</v>
      </c>
      <c r="AY8" s="346">
        <v>11859.325510000001</v>
      </c>
      <c r="AZ8" s="346">
        <v>3522.4180000000001</v>
      </c>
      <c r="BA8" s="278">
        <v>58.034889999999997</v>
      </c>
      <c r="BB8" s="345">
        <v>471.82155</v>
      </c>
      <c r="BC8" s="278">
        <v>461.69396</v>
      </c>
      <c r="BD8" s="278">
        <v>195.60297</v>
      </c>
      <c r="BE8" s="346">
        <v>2018.6403</v>
      </c>
      <c r="BG8" s="343">
        <v>1513.2139499999998</v>
      </c>
      <c r="BH8" s="343">
        <v>0</v>
      </c>
      <c r="BI8" s="343">
        <v>0</v>
      </c>
      <c r="BJ8" s="346">
        <v>505.42634999999996</v>
      </c>
      <c r="BK8" s="343">
        <v>0</v>
      </c>
      <c r="BL8" s="343">
        <v>0</v>
      </c>
      <c r="BM8" s="343">
        <v>0</v>
      </c>
      <c r="BN8" s="346">
        <v>505.42634999999996</v>
      </c>
      <c r="BP8" s="346">
        <v>7498.3540199999998</v>
      </c>
      <c r="BQ8" s="318">
        <v>1934.96028</v>
      </c>
      <c r="BR8" s="278">
        <v>-83.680019999999999</v>
      </c>
      <c r="BS8" s="475">
        <v>-1196.5514699999999</v>
      </c>
      <c r="BT8" s="278">
        <v>0</v>
      </c>
      <c r="BU8" s="278">
        <v>96.396600000000007</v>
      </c>
      <c r="BV8" s="345">
        <v>7466.7205199999999</v>
      </c>
      <c r="BX8" s="278">
        <v>18827.648730000001</v>
      </c>
      <c r="BY8" s="483">
        <v>0</v>
      </c>
      <c r="BZ8" s="483">
        <v>-1871.68776</v>
      </c>
      <c r="CA8" s="260"/>
      <c r="CB8" s="347">
        <v>8.9</v>
      </c>
      <c r="CC8" s="486">
        <f t="shared" si="0"/>
        <v>8.9</v>
      </c>
      <c r="CD8" s="287"/>
      <c r="CE8" s="278"/>
      <c r="CF8" s="268"/>
      <c r="CG8" s="266"/>
      <c r="CI8" s="158">
        <v>0</v>
      </c>
      <c r="CJ8" s="343">
        <v>3225.3992484432533</v>
      </c>
      <c r="CK8" s="343">
        <v>3279.304617413276</v>
      </c>
      <c r="CL8" s="343">
        <v>3786.0147275227196</v>
      </c>
      <c r="CM8" s="487">
        <v>3706.2704144837594</v>
      </c>
      <c r="CN8" s="487">
        <v>3842.4592721992308</v>
      </c>
      <c r="CO8" s="495">
        <v>-127.45699999999999</v>
      </c>
      <c r="CP8" s="299"/>
      <c r="CQ8" s="489">
        <v>0</v>
      </c>
      <c r="CR8" s="489">
        <v>0</v>
      </c>
    </row>
    <row r="9" spans="1:96" x14ac:dyDescent="0.2">
      <c r="A9" s="154">
        <v>19</v>
      </c>
      <c r="B9" s="156" t="s">
        <v>43</v>
      </c>
      <c r="C9" s="337">
        <v>3965</v>
      </c>
      <c r="D9" s="276">
        <v>21.5</v>
      </c>
      <c r="E9" s="185"/>
      <c r="G9" s="278">
        <v>3172.4813599999998</v>
      </c>
      <c r="H9" s="278">
        <v>25895.736949999999</v>
      </c>
      <c r="I9" s="278"/>
      <c r="J9" s="278">
        <v>14935.18036</v>
      </c>
      <c r="K9" s="278">
        <v>872.98568999999998</v>
      </c>
      <c r="L9" s="278">
        <v>885.76715000000002</v>
      </c>
      <c r="M9" s="278">
        <v>16693.933199999999</v>
      </c>
      <c r="N9" s="278">
        <v>7491.634</v>
      </c>
      <c r="O9" s="278">
        <v>4.3096099999999993</v>
      </c>
      <c r="P9" s="278">
        <v>49.502420000000001</v>
      </c>
      <c r="Q9" s="278">
        <v>96.097570000000005</v>
      </c>
      <c r="R9" s="278">
        <v>5.56304</v>
      </c>
      <c r="S9" s="278">
        <v>1507.6533300000001</v>
      </c>
      <c r="U9" s="278">
        <v>894.73348999999996</v>
      </c>
      <c r="V9" s="278">
        <v>0</v>
      </c>
      <c r="W9" s="278">
        <v>0</v>
      </c>
      <c r="X9" s="278">
        <v>612.91984000000002</v>
      </c>
      <c r="Y9" s="278">
        <v>-27.787680000000002</v>
      </c>
      <c r="Z9" s="278">
        <v>0</v>
      </c>
      <c r="AA9" s="278">
        <v>0</v>
      </c>
      <c r="AB9" s="278">
        <v>640.70752000000005</v>
      </c>
      <c r="AD9" s="278">
        <v>4027.7160400000002</v>
      </c>
      <c r="AE9" s="157">
        <v>1485.4433799999999</v>
      </c>
      <c r="AF9" s="184">
        <v>-22.209949999999999</v>
      </c>
      <c r="AG9" s="278">
        <v>-1194.4440300000001</v>
      </c>
      <c r="AH9" s="278">
        <v>18</v>
      </c>
      <c r="AI9" s="184">
        <v>35.170199999999994</v>
      </c>
      <c r="AJ9" s="278">
        <v>2253.9276099999997</v>
      </c>
      <c r="AL9" s="278">
        <v>8619.06</v>
      </c>
      <c r="AM9" s="184">
        <v>0</v>
      </c>
      <c r="AN9" s="278">
        <v>-738.09400000000005</v>
      </c>
      <c r="AO9" s="355">
        <v>3961</v>
      </c>
      <c r="AP9" s="344">
        <v>8.86</v>
      </c>
      <c r="AQ9" s="462"/>
      <c r="AS9" s="469">
        <v>2645.0346300000001</v>
      </c>
      <c r="AT9" s="278">
        <v>13142.015240000001</v>
      </c>
      <c r="AU9" s="464"/>
      <c r="AV9" s="346">
        <v>7361.4130800000003</v>
      </c>
      <c r="AW9" s="346">
        <v>630.30621999999994</v>
      </c>
      <c r="AX9" s="346">
        <v>913.92156999999997</v>
      </c>
      <c r="AY9" s="346">
        <v>8905.6408699999993</v>
      </c>
      <c r="AZ9" s="346">
        <v>3092.9859999999999</v>
      </c>
      <c r="BA9" s="278">
        <v>0</v>
      </c>
      <c r="BB9" s="345">
        <v>127.61708</v>
      </c>
      <c r="BC9" s="278">
        <v>31.324450000000002</v>
      </c>
      <c r="BD9" s="278">
        <v>2.2479699999999996</v>
      </c>
      <c r="BE9" s="346">
        <v>1403.1056599999999</v>
      </c>
      <c r="BG9" s="343">
        <v>924.40859</v>
      </c>
      <c r="BH9" s="346">
        <v>81.779679999999999</v>
      </c>
      <c r="BI9" s="343">
        <v>0</v>
      </c>
      <c r="BJ9" s="346">
        <v>560.47675000000004</v>
      </c>
      <c r="BK9" s="346">
        <v>-33.87218</v>
      </c>
      <c r="BL9" s="343">
        <v>0</v>
      </c>
      <c r="BM9" s="343">
        <v>0</v>
      </c>
      <c r="BN9" s="346">
        <v>594.34893</v>
      </c>
      <c r="BP9" s="346">
        <v>4622.0649700000004</v>
      </c>
      <c r="BQ9" s="318">
        <v>1390.5829099999999</v>
      </c>
      <c r="BR9" s="278">
        <v>-94.302429999999987</v>
      </c>
      <c r="BS9" s="475">
        <v>-2022.5264299999999</v>
      </c>
      <c r="BT9" s="278">
        <v>38.19</v>
      </c>
      <c r="BU9" s="278">
        <v>829.97753</v>
      </c>
      <c r="BV9" s="345">
        <v>0</v>
      </c>
      <c r="BX9" s="278">
        <v>8000</v>
      </c>
      <c r="BY9" s="483">
        <v>0</v>
      </c>
      <c r="BZ9" s="483">
        <v>-619.05999999999995</v>
      </c>
      <c r="CA9" s="260"/>
      <c r="CB9" s="347">
        <v>8.9</v>
      </c>
      <c r="CC9" s="486">
        <f t="shared" si="0"/>
        <v>8.9</v>
      </c>
      <c r="CD9" s="287"/>
      <c r="CE9" s="278"/>
      <c r="CF9" s="268"/>
      <c r="CG9" s="266"/>
      <c r="CI9" s="158">
        <v>0</v>
      </c>
      <c r="CJ9" s="343">
        <v>2071.3546223511248</v>
      </c>
      <c r="CK9" s="343">
        <v>2186.0218606241797</v>
      </c>
      <c r="CL9" s="343">
        <v>2319.8253280034305</v>
      </c>
      <c r="CM9" s="487">
        <v>2596.9081647890462</v>
      </c>
      <c r="CN9" s="487">
        <v>2523.9319011952839</v>
      </c>
      <c r="CO9" s="495">
        <v>-963.10799999999995</v>
      </c>
      <c r="CP9" s="299"/>
      <c r="CQ9" s="489">
        <v>0</v>
      </c>
      <c r="CR9" s="489">
        <v>0</v>
      </c>
    </row>
    <row r="10" spans="1:96" x14ac:dyDescent="0.2">
      <c r="A10" s="154">
        <v>46</v>
      </c>
      <c r="B10" s="156" t="s">
        <v>44</v>
      </c>
      <c r="C10" s="337">
        <v>1341</v>
      </c>
      <c r="D10" s="276">
        <v>21</v>
      </c>
      <c r="E10" s="185"/>
      <c r="G10" s="278">
        <v>1727.24632</v>
      </c>
      <c r="H10" s="278">
        <v>11693.377390000001</v>
      </c>
      <c r="I10" s="278"/>
      <c r="J10" s="278">
        <v>3683.7084399999999</v>
      </c>
      <c r="K10" s="278">
        <v>905.87333999999998</v>
      </c>
      <c r="L10" s="278">
        <v>567.66114000000005</v>
      </c>
      <c r="M10" s="278">
        <v>5157.2429199999997</v>
      </c>
      <c r="N10" s="278">
        <v>6039.6</v>
      </c>
      <c r="O10" s="278">
        <v>19.988419999999998</v>
      </c>
      <c r="P10" s="278">
        <v>0.96295000000000008</v>
      </c>
      <c r="Q10" s="278">
        <v>97.76397</v>
      </c>
      <c r="R10" s="278">
        <v>30.882909999999999</v>
      </c>
      <c r="S10" s="278">
        <v>1326.0736000000002</v>
      </c>
      <c r="U10" s="278">
        <v>545.48644999999999</v>
      </c>
      <c r="V10" s="278">
        <v>0</v>
      </c>
      <c r="W10" s="278">
        <v>0</v>
      </c>
      <c r="X10" s="278">
        <v>780.58715000000007</v>
      </c>
      <c r="Y10" s="278">
        <v>0</v>
      </c>
      <c r="Z10" s="278">
        <v>0</v>
      </c>
      <c r="AA10" s="278">
        <v>0</v>
      </c>
      <c r="AB10" s="278">
        <v>780.58715000000007</v>
      </c>
      <c r="AD10" s="278">
        <v>8978.53334</v>
      </c>
      <c r="AE10" s="157">
        <v>1326.0736000000002</v>
      </c>
      <c r="AF10" s="184">
        <v>0</v>
      </c>
      <c r="AG10" s="278">
        <v>-1284.25046</v>
      </c>
      <c r="AH10" s="278">
        <v>0</v>
      </c>
      <c r="AI10" s="184">
        <v>0</v>
      </c>
      <c r="AJ10" s="278">
        <v>6288.4343999999992</v>
      </c>
      <c r="AL10" s="278">
        <v>0</v>
      </c>
      <c r="AM10" s="184">
        <v>23.052040000000002</v>
      </c>
      <c r="AN10" s="278">
        <v>0</v>
      </c>
      <c r="AO10" s="355">
        <v>1320</v>
      </c>
      <c r="AP10" s="344">
        <v>8.36</v>
      </c>
      <c r="AQ10" s="462"/>
      <c r="AS10" s="469">
        <v>1440.6006</v>
      </c>
      <c r="AT10" s="278">
        <v>5296.1766799999996</v>
      </c>
      <c r="AU10" s="464"/>
      <c r="AV10" s="346">
        <v>1757.7245399999999</v>
      </c>
      <c r="AW10" s="346">
        <v>549.5783100000001</v>
      </c>
      <c r="AX10" s="346">
        <v>582.96794</v>
      </c>
      <c r="AY10" s="346">
        <v>2890.27079</v>
      </c>
      <c r="AZ10" s="346">
        <v>1877.7339999999999</v>
      </c>
      <c r="BA10" s="278">
        <v>112.91471</v>
      </c>
      <c r="BB10" s="345">
        <v>0</v>
      </c>
      <c r="BC10" s="278">
        <v>137.64222000000001</v>
      </c>
      <c r="BD10" s="278">
        <v>7.4270000000000003E-2</v>
      </c>
      <c r="BE10" s="346">
        <v>1182.8853100000001</v>
      </c>
      <c r="BG10" s="343">
        <v>550.46759999999995</v>
      </c>
      <c r="BH10" s="343">
        <v>0</v>
      </c>
      <c r="BI10" s="343">
        <v>0</v>
      </c>
      <c r="BJ10" s="346">
        <v>632.41770999999994</v>
      </c>
      <c r="BK10" s="343">
        <v>0</v>
      </c>
      <c r="BL10" s="343">
        <v>0</v>
      </c>
      <c r="BM10" s="346">
        <v>0</v>
      </c>
      <c r="BN10" s="346">
        <v>632.41770999999994</v>
      </c>
      <c r="BP10" s="346">
        <v>9610.9510499999997</v>
      </c>
      <c r="BQ10" s="318">
        <v>1178.12725</v>
      </c>
      <c r="BR10" s="278">
        <v>-4.7580600000000004</v>
      </c>
      <c r="BS10" s="475">
        <v>-606.19553000000008</v>
      </c>
      <c r="BT10" s="278">
        <v>0</v>
      </c>
      <c r="BU10" s="278">
        <v>4.7580600000000004</v>
      </c>
      <c r="BV10" s="345">
        <v>6019.7584999999999</v>
      </c>
      <c r="BX10" s="278">
        <v>0</v>
      </c>
      <c r="BY10" s="483">
        <v>-40.180870000000006</v>
      </c>
      <c r="BZ10" s="483">
        <v>0</v>
      </c>
      <c r="CA10" s="260"/>
      <c r="CB10" s="347">
        <v>8.4</v>
      </c>
      <c r="CC10" s="486">
        <f t="shared" si="0"/>
        <v>8.4</v>
      </c>
      <c r="CD10" s="287"/>
      <c r="CE10" s="278"/>
      <c r="CF10" s="268"/>
      <c r="CI10" s="158">
        <v>0</v>
      </c>
      <c r="CJ10" s="343">
        <v>1908.3368050747279</v>
      </c>
      <c r="CK10" s="343">
        <v>2036.9445726728275</v>
      </c>
      <c r="CL10" s="343">
        <v>1998.680761373899</v>
      </c>
      <c r="CM10" s="487">
        <v>2034.1899433341675</v>
      </c>
      <c r="CN10" s="487">
        <v>2158.217634190793</v>
      </c>
      <c r="CO10" s="495">
        <v>-378.233</v>
      </c>
      <c r="CP10" s="299"/>
      <c r="CQ10" s="489">
        <v>9.4552199999999988</v>
      </c>
      <c r="CR10" s="489">
        <v>19.973939999999999</v>
      </c>
    </row>
    <row r="11" spans="1:96" x14ac:dyDescent="0.2">
      <c r="A11" s="154">
        <v>47</v>
      </c>
      <c r="B11" s="156" t="s">
        <v>45</v>
      </c>
      <c r="C11" s="337">
        <v>1811</v>
      </c>
      <c r="D11" s="276">
        <v>21.25</v>
      </c>
      <c r="E11" s="185"/>
      <c r="G11" s="278">
        <v>3237.51557</v>
      </c>
      <c r="H11" s="278">
        <v>19749.191329999998</v>
      </c>
      <c r="I11" s="278"/>
      <c r="J11" s="278">
        <v>5393.1741600000005</v>
      </c>
      <c r="K11" s="278">
        <v>887.71537000000001</v>
      </c>
      <c r="L11" s="278">
        <v>898.60772999999995</v>
      </c>
      <c r="M11" s="278">
        <v>7179.4972600000001</v>
      </c>
      <c r="N11" s="278">
        <v>9856.3070000000007</v>
      </c>
      <c r="O11" s="278">
        <v>0.27323999999999998</v>
      </c>
      <c r="P11" s="278">
        <v>18.66902</v>
      </c>
      <c r="Q11" s="278">
        <v>2622.15076</v>
      </c>
      <c r="R11" s="278">
        <v>370.17496</v>
      </c>
      <c r="S11" s="278">
        <v>2757.7085200000001</v>
      </c>
      <c r="U11" s="278">
        <v>881.51807999999994</v>
      </c>
      <c r="V11" s="278">
        <v>0</v>
      </c>
      <c r="W11" s="278">
        <v>0</v>
      </c>
      <c r="X11" s="278">
        <v>1876.1904399999999</v>
      </c>
      <c r="Y11" s="278">
        <v>-6.2313100000000006</v>
      </c>
      <c r="Z11" s="278">
        <v>0</v>
      </c>
      <c r="AA11" s="278">
        <v>0</v>
      </c>
      <c r="AB11" s="278">
        <v>1882.42175</v>
      </c>
      <c r="AD11" s="278">
        <v>13340.617609999999</v>
      </c>
      <c r="AE11" s="157">
        <v>2328.3026600000003</v>
      </c>
      <c r="AF11" s="184">
        <v>-429.40585999999996</v>
      </c>
      <c r="AG11" s="278">
        <v>-2040.2794699999999</v>
      </c>
      <c r="AH11" s="278">
        <v>141.74355</v>
      </c>
      <c r="AI11" s="184">
        <v>432.55728999999997</v>
      </c>
      <c r="AJ11" s="278">
        <v>9584.9801299999999</v>
      </c>
      <c r="AL11" s="278">
        <v>4311</v>
      </c>
      <c r="AM11" s="184">
        <v>168.70717999999999</v>
      </c>
      <c r="AN11" s="278">
        <v>-492</v>
      </c>
      <c r="AO11" s="355">
        <v>1771</v>
      </c>
      <c r="AP11" s="344">
        <v>8.61</v>
      </c>
      <c r="AQ11" s="462"/>
      <c r="AS11" s="469">
        <v>2762.5285099999996</v>
      </c>
      <c r="AT11" s="278">
        <v>10160.89754</v>
      </c>
      <c r="AU11" s="464"/>
      <c r="AV11" s="346">
        <v>3032.2939300000003</v>
      </c>
      <c r="AW11" s="346">
        <v>592.20650999999998</v>
      </c>
      <c r="AX11" s="346">
        <v>1005.2551500000001</v>
      </c>
      <c r="AY11" s="346">
        <v>4629.7555899999998</v>
      </c>
      <c r="AZ11" s="346">
        <v>3700.0889400000001</v>
      </c>
      <c r="BA11" s="278">
        <v>3.2259999999999997E-2</v>
      </c>
      <c r="BB11" s="345">
        <v>9.5322999999999993</v>
      </c>
      <c r="BC11" s="278">
        <v>807.17863</v>
      </c>
      <c r="BD11" s="278">
        <v>222.68893</v>
      </c>
      <c r="BE11" s="346">
        <v>1506.46516</v>
      </c>
      <c r="BG11" s="343">
        <v>470.38452000000001</v>
      </c>
      <c r="BH11" s="343">
        <v>0</v>
      </c>
      <c r="BI11" s="343">
        <v>0</v>
      </c>
      <c r="BJ11" s="346">
        <v>1036.0806399999999</v>
      </c>
      <c r="BK11" s="343">
        <v>-6.2313100000000006</v>
      </c>
      <c r="BL11" s="343">
        <v>0</v>
      </c>
      <c r="BM11" s="343">
        <v>0</v>
      </c>
      <c r="BN11" s="346">
        <v>1042.31195</v>
      </c>
      <c r="BP11" s="346">
        <v>14382.929559999999</v>
      </c>
      <c r="BQ11" s="318">
        <v>1298.7039199999999</v>
      </c>
      <c r="BR11" s="278">
        <v>-207.76123999999999</v>
      </c>
      <c r="BS11" s="475">
        <v>-1230.70391</v>
      </c>
      <c r="BT11" s="278">
        <v>258.64132999999998</v>
      </c>
      <c r="BU11" s="278">
        <v>209.38749999999999</v>
      </c>
      <c r="BV11" s="345">
        <v>6205.8004299999993</v>
      </c>
      <c r="BX11" s="278">
        <v>554</v>
      </c>
      <c r="BY11" s="483">
        <v>1.7077800000000001</v>
      </c>
      <c r="BZ11" s="483">
        <v>-3757</v>
      </c>
      <c r="CA11" s="260"/>
      <c r="CB11" s="347">
        <v>8.6</v>
      </c>
      <c r="CC11" s="486">
        <f t="shared" si="0"/>
        <v>8.6</v>
      </c>
      <c r="CD11" s="287"/>
      <c r="CE11" s="278"/>
      <c r="CF11" s="268"/>
      <c r="CG11" s="266"/>
      <c r="CI11" s="158">
        <v>0</v>
      </c>
      <c r="CJ11" s="343">
        <v>3457.6940305923558</v>
      </c>
      <c r="CK11" s="343">
        <v>3520.8802417411152</v>
      </c>
      <c r="CL11" s="343">
        <v>3735.0858007375405</v>
      </c>
      <c r="CM11" s="487">
        <v>3793.4192448297299</v>
      </c>
      <c r="CN11" s="487">
        <v>3929.0120587403876</v>
      </c>
      <c r="CO11" s="495">
        <v>-13.007999999999999</v>
      </c>
      <c r="CP11" s="299"/>
      <c r="CQ11" s="489">
        <v>0</v>
      </c>
      <c r="CR11" s="489">
        <v>0</v>
      </c>
    </row>
    <row r="12" spans="1:96" x14ac:dyDescent="0.2">
      <c r="A12" s="154">
        <v>49</v>
      </c>
      <c r="B12" s="156" t="s">
        <v>46</v>
      </c>
      <c r="C12" s="337">
        <v>305274</v>
      </c>
      <c r="D12" s="276">
        <v>18</v>
      </c>
      <c r="E12" s="185"/>
      <c r="G12" s="278">
        <v>461316.88533999998</v>
      </c>
      <c r="H12" s="278">
        <v>2122746.2747800001</v>
      </c>
      <c r="I12" s="278"/>
      <c r="J12" s="278">
        <v>1484705.5996900001</v>
      </c>
      <c r="K12" s="278">
        <v>223623.01793999999</v>
      </c>
      <c r="L12" s="278">
        <v>141816.92977000002</v>
      </c>
      <c r="M12" s="278">
        <v>1850145.5474</v>
      </c>
      <c r="N12" s="278">
        <v>165597.96900000001</v>
      </c>
      <c r="O12" s="278">
        <v>14948.307369999999</v>
      </c>
      <c r="P12" s="278">
        <v>8136.9315199999992</v>
      </c>
      <c r="Q12" s="278">
        <v>22494.258719999998</v>
      </c>
      <c r="R12" s="278">
        <v>45413.806859999997</v>
      </c>
      <c r="S12" s="278">
        <v>347039.45400000003</v>
      </c>
      <c r="U12" s="278">
        <v>199328.94890000002</v>
      </c>
      <c r="V12" s="278">
        <v>97104.933950000006</v>
      </c>
      <c r="W12" s="278">
        <v>0</v>
      </c>
      <c r="X12" s="278">
        <v>244815.43905000002</v>
      </c>
      <c r="Y12" s="278">
        <v>-15767.5923</v>
      </c>
      <c r="Z12" s="278">
        <v>0</v>
      </c>
      <c r="AA12" s="278">
        <v>-2169.8645000000001</v>
      </c>
      <c r="AB12" s="278">
        <v>262752.89584999997</v>
      </c>
      <c r="AD12" s="278">
        <v>1038072.3910699999</v>
      </c>
      <c r="AE12" s="157">
        <v>284293.99619999999</v>
      </c>
      <c r="AF12" s="184">
        <v>-159850.39171</v>
      </c>
      <c r="AG12" s="278">
        <v>-259405.19269999999</v>
      </c>
      <c r="AH12" s="278">
        <v>14699.286259999999</v>
      </c>
      <c r="AI12" s="184">
        <v>199706.76553999999</v>
      </c>
      <c r="AJ12" s="278">
        <v>1550147.63099</v>
      </c>
      <c r="AL12" s="278">
        <v>1286426.9868899998</v>
      </c>
      <c r="AM12" s="184">
        <v>-28886.14344</v>
      </c>
      <c r="AN12" s="278">
        <v>-106011.52937999999</v>
      </c>
      <c r="AO12" s="355">
        <v>314024</v>
      </c>
      <c r="AP12" s="344">
        <v>5.3600000000000012</v>
      </c>
      <c r="AQ12" s="462"/>
      <c r="AS12" s="469">
        <v>403918.04676999996</v>
      </c>
      <c r="AT12" s="278">
        <v>1283297.09708</v>
      </c>
      <c r="AU12" s="464"/>
      <c r="AV12" s="346">
        <v>615847.31613000005</v>
      </c>
      <c r="AW12" s="346">
        <v>152479.9431</v>
      </c>
      <c r="AX12" s="346">
        <v>143060.23103</v>
      </c>
      <c r="AY12" s="346">
        <v>911387.49025999999</v>
      </c>
      <c r="AZ12" s="346">
        <v>358855.32799999998</v>
      </c>
      <c r="BA12" s="278">
        <v>17211.390059999998</v>
      </c>
      <c r="BB12" s="345">
        <v>10170.096160000001</v>
      </c>
      <c r="BC12" s="278">
        <v>48423.974399999999</v>
      </c>
      <c r="BD12" s="278">
        <v>2920.9068299999999</v>
      </c>
      <c r="BE12" s="346">
        <v>454267.39976999996</v>
      </c>
      <c r="BG12" s="343">
        <v>192648.74299</v>
      </c>
      <c r="BH12" s="343">
        <v>0</v>
      </c>
      <c r="BI12" s="346">
        <v>0</v>
      </c>
      <c r="BJ12" s="346">
        <v>261618.65677999999</v>
      </c>
      <c r="BK12" s="346">
        <v>-15767.5923</v>
      </c>
      <c r="BL12" s="346">
        <v>0</v>
      </c>
      <c r="BM12" s="346">
        <v>0</v>
      </c>
      <c r="BN12" s="346">
        <v>277386.24907999998</v>
      </c>
      <c r="BP12" s="346">
        <v>1325469.2176099999</v>
      </c>
      <c r="BQ12" s="318">
        <v>378981.53629000002</v>
      </c>
      <c r="BR12" s="278">
        <v>-75285.86348</v>
      </c>
      <c r="BS12" s="475">
        <v>-296679.44479000004</v>
      </c>
      <c r="BT12" s="278">
        <v>4952.9787300000007</v>
      </c>
      <c r="BU12" s="278">
        <v>80072.375799999994</v>
      </c>
      <c r="BV12" s="345">
        <v>1312911.99441</v>
      </c>
      <c r="BX12" s="278">
        <v>947770.46345000004</v>
      </c>
      <c r="BY12" s="483">
        <v>-20248.726210000001</v>
      </c>
      <c r="BZ12" s="483">
        <v>-32489.915440000001</v>
      </c>
      <c r="CA12" s="260"/>
      <c r="CB12" s="347">
        <v>5.3</v>
      </c>
      <c r="CC12" s="486">
        <f t="shared" si="0"/>
        <v>5.3</v>
      </c>
      <c r="CD12" s="287"/>
      <c r="CE12" s="278"/>
      <c r="CF12" s="268"/>
      <c r="CI12" s="158">
        <v>0</v>
      </c>
      <c r="CJ12" s="343">
        <v>394476.55821196368</v>
      </c>
      <c r="CK12" s="343">
        <v>442001.20292304509</v>
      </c>
      <c r="CL12" s="343">
        <v>453786.34803574899</v>
      </c>
      <c r="CM12" s="487">
        <v>463008.87216665945</v>
      </c>
      <c r="CN12" s="487">
        <v>480191.77684304531</v>
      </c>
      <c r="CO12" s="495">
        <v>-3957.8180000000002</v>
      </c>
      <c r="CP12" s="299"/>
      <c r="CQ12" s="489">
        <v>8833.4993300000006</v>
      </c>
      <c r="CR12" s="489">
        <v>10859.270349999999</v>
      </c>
    </row>
    <row r="13" spans="1:96" x14ac:dyDescent="0.2">
      <c r="A13" s="154">
        <v>50</v>
      </c>
      <c r="B13" s="156" t="s">
        <v>47</v>
      </c>
      <c r="C13" s="337">
        <v>11276</v>
      </c>
      <c r="D13" s="276">
        <v>21</v>
      </c>
      <c r="E13" s="185"/>
      <c r="F13" s="157"/>
      <c r="G13" s="278">
        <v>12098.0875</v>
      </c>
      <c r="H13" s="278">
        <v>86704.511239999993</v>
      </c>
      <c r="I13" s="278"/>
      <c r="J13" s="278">
        <v>41188.585129999999</v>
      </c>
      <c r="K13" s="278">
        <v>3721.3295800000001</v>
      </c>
      <c r="L13" s="278">
        <v>3291.71018</v>
      </c>
      <c r="M13" s="278">
        <v>48201.624889999999</v>
      </c>
      <c r="N13" s="278">
        <v>27452.392</v>
      </c>
      <c r="O13" s="278">
        <v>31.610139999999998</v>
      </c>
      <c r="P13" s="278">
        <v>177.88527999999999</v>
      </c>
      <c r="Q13" s="278">
        <v>183.51318000000001</v>
      </c>
      <c r="R13" s="278">
        <v>4.9461700000000004</v>
      </c>
      <c r="S13" s="278">
        <v>1079.8850199999999</v>
      </c>
      <c r="T13" s="157"/>
      <c r="U13" s="278">
        <v>3847.2541099999999</v>
      </c>
      <c r="V13" s="278">
        <v>0</v>
      </c>
      <c r="W13" s="278">
        <v>0</v>
      </c>
      <c r="X13" s="278">
        <v>-2767.3690899999997</v>
      </c>
      <c r="Y13" s="278">
        <v>-17.971810000000001</v>
      </c>
      <c r="Z13" s="278">
        <v>0</v>
      </c>
      <c r="AA13" s="278">
        <v>0</v>
      </c>
      <c r="AB13" s="278">
        <v>-2749.3972799999997</v>
      </c>
      <c r="AC13" s="157"/>
      <c r="AD13" s="278">
        <v>3707.3543000000004</v>
      </c>
      <c r="AE13" s="157">
        <v>1268.6532199999999</v>
      </c>
      <c r="AF13" s="184">
        <v>188.76820000000001</v>
      </c>
      <c r="AG13" s="278">
        <v>-3879.7755499999998</v>
      </c>
      <c r="AH13" s="278">
        <v>20.740130000000001</v>
      </c>
      <c r="AI13" s="184">
        <v>1379.0871200000001</v>
      </c>
      <c r="AJ13" s="278">
        <v>1156.3152600000001</v>
      </c>
      <c r="AK13" s="157"/>
      <c r="AL13" s="278">
        <v>35357.844069999999</v>
      </c>
      <c r="AM13" s="184">
        <v>-13.96763</v>
      </c>
      <c r="AN13" s="278">
        <v>-2359.5585899999996</v>
      </c>
      <c r="AO13" s="355">
        <v>11184</v>
      </c>
      <c r="AP13" s="344">
        <v>8.36</v>
      </c>
      <c r="AQ13" s="462"/>
      <c r="AR13" s="460"/>
      <c r="AS13" s="469">
        <v>9519.5324199999995</v>
      </c>
      <c r="AT13" s="278">
        <v>37407.861720000001</v>
      </c>
      <c r="AU13" s="464"/>
      <c r="AV13" s="346">
        <v>20217.262549999999</v>
      </c>
      <c r="AW13" s="346">
        <v>2537.2622299999998</v>
      </c>
      <c r="AX13" s="346">
        <v>3388.5784800000001</v>
      </c>
      <c r="AY13" s="346">
        <v>26143.10326</v>
      </c>
      <c r="AZ13" s="346">
        <v>7099.7219999999998</v>
      </c>
      <c r="BA13" s="278">
        <v>112.50009</v>
      </c>
      <c r="BB13" s="345">
        <v>748.19763999999998</v>
      </c>
      <c r="BC13" s="278">
        <v>185.06422000000001</v>
      </c>
      <c r="BD13" s="278">
        <v>5.9592299999999998</v>
      </c>
      <c r="BE13" s="346">
        <v>4897.9034000000001</v>
      </c>
      <c r="BF13" s="460"/>
      <c r="BG13" s="343">
        <v>4142.2550799999999</v>
      </c>
      <c r="BH13" s="343">
        <v>0</v>
      </c>
      <c r="BI13" s="343">
        <v>0</v>
      </c>
      <c r="BJ13" s="346">
        <v>755.6483199999999</v>
      </c>
      <c r="BK13" s="343">
        <v>-14.686540000000001</v>
      </c>
      <c r="BL13" s="343">
        <v>0</v>
      </c>
      <c r="BM13" s="343">
        <v>0</v>
      </c>
      <c r="BN13" s="346">
        <v>770.33485999999994</v>
      </c>
      <c r="BO13" s="460"/>
      <c r="BP13" s="346">
        <v>4477.6891599999999</v>
      </c>
      <c r="BQ13" s="318">
        <v>4771.23117</v>
      </c>
      <c r="BR13" s="278">
        <v>-126.67223</v>
      </c>
      <c r="BS13" s="475">
        <v>-5332.3464000000004</v>
      </c>
      <c r="BT13" s="278">
        <v>0</v>
      </c>
      <c r="BU13" s="278">
        <v>308.00178000000005</v>
      </c>
      <c r="BV13" s="345">
        <v>1022.45379</v>
      </c>
      <c r="BW13" s="460"/>
      <c r="BX13" s="278">
        <v>38722.813690000003</v>
      </c>
      <c r="BY13" s="483">
        <v>146.82163</v>
      </c>
      <c r="BZ13" s="483">
        <v>3364.9696200000003</v>
      </c>
      <c r="CA13" s="260"/>
      <c r="CB13" s="347">
        <v>8.9999999999999982</v>
      </c>
      <c r="CC13" s="486">
        <f t="shared" si="0"/>
        <v>8.9999999999999982</v>
      </c>
      <c r="CD13" s="287"/>
      <c r="CE13" s="278"/>
      <c r="CF13" s="268"/>
      <c r="CI13" s="158">
        <v>0</v>
      </c>
      <c r="CJ13" s="343">
        <v>5126.1755301677649</v>
      </c>
      <c r="CK13" s="343">
        <v>5240.1129486259661</v>
      </c>
      <c r="CL13" s="343">
        <v>5912.5938966309204</v>
      </c>
      <c r="CM13" s="487">
        <v>5935.4923259260368</v>
      </c>
      <c r="CN13" s="487">
        <v>6960.9011581925415</v>
      </c>
      <c r="CO13" s="495">
        <v>-835.06799999999998</v>
      </c>
      <c r="CP13" s="299"/>
      <c r="CQ13" s="489">
        <v>0</v>
      </c>
      <c r="CR13" s="489">
        <v>0</v>
      </c>
    </row>
    <row r="14" spans="1:96" x14ac:dyDescent="0.2">
      <c r="A14" s="154">
        <v>51</v>
      </c>
      <c r="B14" s="156" t="s">
        <v>48</v>
      </c>
      <c r="C14" s="337">
        <v>9211</v>
      </c>
      <c r="D14" s="276">
        <v>18</v>
      </c>
      <c r="E14" s="185"/>
      <c r="G14" s="278">
        <v>9334.5086999999985</v>
      </c>
      <c r="H14" s="278">
        <v>77234.785599999988</v>
      </c>
      <c r="I14" s="278"/>
      <c r="J14" s="278">
        <v>32211.778719999998</v>
      </c>
      <c r="K14" s="278">
        <v>3424.6581900000001</v>
      </c>
      <c r="L14" s="278">
        <v>23840.874640000002</v>
      </c>
      <c r="M14" s="278">
        <v>59477.311549999999</v>
      </c>
      <c r="N14" s="278">
        <v>14126.654</v>
      </c>
      <c r="O14" s="278">
        <v>31.586770000000001</v>
      </c>
      <c r="P14" s="278">
        <v>57.656370000000003</v>
      </c>
      <c r="Q14" s="278">
        <v>264.36228000000006</v>
      </c>
      <c r="R14" s="278">
        <v>287.02459999999996</v>
      </c>
      <c r="S14" s="278">
        <v>5654.9567300000008</v>
      </c>
      <c r="U14" s="278">
        <v>4354.3827300000003</v>
      </c>
      <c r="V14" s="278">
        <v>0</v>
      </c>
      <c r="W14" s="278">
        <v>0</v>
      </c>
      <c r="X14" s="278">
        <v>1300.5740000000001</v>
      </c>
      <c r="Y14" s="278">
        <v>-2.8573499999999998</v>
      </c>
      <c r="Z14" s="278">
        <v>0</v>
      </c>
      <c r="AA14" s="278">
        <v>0</v>
      </c>
      <c r="AB14" s="278">
        <v>1303.4313500000001</v>
      </c>
      <c r="AD14" s="278">
        <v>77540.473530000003</v>
      </c>
      <c r="AE14" s="157">
        <v>5654.9738899999993</v>
      </c>
      <c r="AF14" s="184">
        <v>0</v>
      </c>
      <c r="AG14" s="278">
        <v>-2121.78694</v>
      </c>
      <c r="AH14" s="278">
        <v>51.202100000000002</v>
      </c>
      <c r="AI14" s="184">
        <v>332.53708</v>
      </c>
      <c r="AJ14" s="278">
        <v>28921.3747</v>
      </c>
      <c r="AL14" s="278">
        <v>7282.3542199999993</v>
      </c>
      <c r="AM14" s="184">
        <v>0</v>
      </c>
      <c r="AN14" s="278">
        <v>-1499.3072999999999</v>
      </c>
      <c r="AO14" s="355">
        <v>9143</v>
      </c>
      <c r="AP14" s="344">
        <v>5.36</v>
      </c>
      <c r="AQ14" s="462"/>
      <c r="AS14" s="469">
        <v>8429.9490800000003</v>
      </c>
      <c r="AT14" s="278">
        <v>37405.401090000007</v>
      </c>
      <c r="AU14" s="464"/>
      <c r="AV14" s="346">
        <v>11935.331550000001</v>
      </c>
      <c r="AW14" s="346">
        <v>2894.2556400000003</v>
      </c>
      <c r="AX14" s="346">
        <v>25315.194760000002</v>
      </c>
      <c r="AY14" s="346">
        <v>40144.781950000004</v>
      </c>
      <c r="AZ14" s="346">
        <v>-3955.5070000000001</v>
      </c>
      <c r="BA14" s="278">
        <v>67.111770000000007</v>
      </c>
      <c r="BB14" s="345">
        <v>255.05545999999998</v>
      </c>
      <c r="BC14" s="278">
        <v>619.34670999999992</v>
      </c>
      <c r="BD14" s="278">
        <v>4.7998000000000003</v>
      </c>
      <c r="BE14" s="346">
        <v>7640.42616</v>
      </c>
      <c r="BG14" s="343">
        <v>4191.8310199999996</v>
      </c>
      <c r="BH14" s="343">
        <v>0</v>
      </c>
      <c r="BI14" s="346">
        <v>0</v>
      </c>
      <c r="BJ14" s="346">
        <v>3448.5951400000004</v>
      </c>
      <c r="BK14" s="346">
        <v>-2.73874</v>
      </c>
      <c r="BL14" s="343">
        <v>0</v>
      </c>
      <c r="BM14" s="343">
        <v>0</v>
      </c>
      <c r="BN14" s="346">
        <v>3451.3338799999997</v>
      </c>
      <c r="BP14" s="346">
        <v>80991.807410000009</v>
      </c>
      <c r="BQ14" s="318">
        <v>7640.42616</v>
      </c>
      <c r="BR14" s="278">
        <v>0</v>
      </c>
      <c r="BS14" s="475">
        <v>-11474.102570000001</v>
      </c>
      <c r="BT14" s="278">
        <v>647.00459999999998</v>
      </c>
      <c r="BU14" s="278">
        <v>256.55099999999999</v>
      </c>
      <c r="BV14" s="345">
        <v>23030.716230000002</v>
      </c>
      <c r="BX14" s="278">
        <v>6123.1949199999999</v>
      </c>
      <c r="BY14" s="483">
        <v>0</v>
      </c>
      <c r="BZ14" s="483">
        <v>-1159.1593</v>
      </c>
      <c r="CA14" s="260"/>
      <c r="CB14" s="347">
        <v>5.4</v>
      </c>
      <c r="CC14" s="486">
        <f t="shared" si="0"/>
        <v>5.4</v>
      </c>
      <c r="CD14" s="287"/>
      <c r="CE14" s="278"/>
      <c r="CF14" s="268"/>
      <c r="CI14" s="158">
        <v>0</v>
      </c>
      <c r="CJ14" s="343">
        <v>-4644.6085052255048</v>
      </c>
      <c r="CK14" s="343">
        <v>-4249.5538319794814</v>
      </c>
      <c r="CL14" s="343">
        <v>-4080.2693122323708</v>
      </c>
      <c r="CM14" s="487">
        <v>-4278.1174886471126</v>
      </c>
      <c r="CN14" s="487">
        <v>-3970.4402844712777</v>
      </c>
      <c r="CO14" s="495">
        <v>-684.39200000000005</v>
      </c>
      <c r="CP14" s="299"/>
      <c r="CQ14" s="489">
        <v>0</v>
      </c>
      <c r="CR14" s="489">
        <v>0</v>
      </c>
    </row>
    <row r="15" spans="1:96" x14ac:dyDescent="0.2">
      <c r="A15" s="154">
        <v>52</v>
      </c>
      <c r="B15" s="156" t="s">
        <v>49</v>
      </c>
      <c r="C15" s="337">
        <v>2346</v>
      </c>
      <c r="D15" s="276">
        <v>22.5</v>
      </c>
      <c r="E15" s="185"/>
      <c r="G15" s="278">
        <v>1848.5415500000001</v>
      </c>
      <c r="H15" s="278">
        <v>19724.08971</v>
      </c>
      <c r="I15" s="278"/>
      <c r="J15" s="278">
        <v>7326.3812300000009</v>
      </c>
      <c r="K15" s="278">
        <v>1041.11068</v>
      </c>
      <c r="L15" s="278">
        <v>795.55092000000002</v>
      </c>
      <c r="M15" s="278">
        <v>9163.0428300000003</v>
      </c>
      <c r="N15" s="278">
        <v>10076.903</v>
      </c>
      <c r="O15" s="278">
        <v>76.043580000000006</v>
      </c>
      <c r="P15" s="278">
        <v>75.80510000000001</v>
      </c>
      <c r="Q15" s="278">
        <v>281.22330999999997</v>
      </c>
      <c r="R15" s="278">
        <v>440.70903000000004</v>
      </c>
      <c r="S15" s="278">
        <v>1205.1504299999999</v>
      </c>
      <c r="U15" s="278">
        <v>786.34137999999996</v>
      </c>
      <c r="V15" s="278">
        <v>0</v>
      </c>
      <c r="W15" s="278">
        <v>0</v>
      </c>
      <c r="X15" s="278">
        <v>418.80905000000001</v>
      </c>
      <c r="Y15" s="278">
        <v>0</v>
      </c>
      <c r="Z15" s="278">
        <v>0</v>
      </c>
      <c r="AA15" s="278">
        <v>0</v>
      </c>
      <c r="AB15" s="278">
        <v>418.80905000000001</v>
      </c>
      <c r="AD15" s="278">
        <v>3846.3235199999999</v>
      </c>
      <c r="AE15" s="157">
        <v>1205.1504299999999</v>
      </c>
      <c r="AF15" s="184">
        <v>0</v>
      </c>
      <c r="AG15" s="278">
        <v>-1283.3789999999999</v>
      </c>
      <c r="AH15" s="278">
        <v>198.09232999999998</v>
      </c>
      <c r="AI15" s="184">
        <v>0</v>
      </c>
      <c r="AJ15" s="278">
        <v>7893.4875499999998</v>
      </c>
      <c r="AL15" s="278">
        <v>9950</v>
      </c>
      <c r="AM15" s="184">
        <v>7.3748500000000003</v>
      </c>
      <c r="AN15" s="278">
        <v>450</v>
      </c>
      <c r="AO15" s="355">
        <v>2292</v>
      </c>
      <c r="AP15" s="344">
        <v>9.86</v>
      </c>
      <c r="AQ15" s="462"/>
      <c r="AS15" s="469">
        <v>2591.6978300000001</v>
      </c>
      <c r="AT15" s="278">
        <v>9467.6978400000007</v>
      </c>
      <c r="AU15" s="464"/>
      <c r="AV15" s="346">
        <v>3690.80053</v>
      </c>
      <c r="AW15" s="346">
        <v>692.74706999999989</v>
      </c>
      <c r="AX15" s="346">
        <v>833.69174999999996</v>
      </c>
      <c r="AY15" s="346">
        <v>5217.2393499999998</v>
      </c>
      <c r="AZ15" s="346">
        <v>3832.556</v>
      </c>
      <c r="BA15" s="278">
        <v>64.713260000000005</v>
      </c>
      <c r="BB15" s="345">
        <v>258.05851999999999</v>
      </c>
      <c r="BC15" s="278">
        <v>351.75457</v>
      </c>
      <c r="BD15" s="278">
        <v>201.93849</v>
      </c>
      <c r="BE15" s="346">
        <v>2130.2661600000001</v>
      </c>
      <c r="BG15" s="343">
        <v>940.79786000000001</v>
      </c>
      <c r="BH15" s="343">
        <v>0</v>
      </c>
      <c r="BI15" s="343">
        <v>0</v>
      </c>
      <c r="BJ15" s="346">
        <v>1189.4683</v>
      </c>
      <c r="BK15" s="343">
        <v>0</v>
      </c>
      <c r="BL15" s="343">
        <v>0</v>
      </c>
      <c r="BM15" s="343">
        <v>0</v>
      </c>
      <c r="BN15" s="346">
        <v>1189.4683</v>
      </c>
      <c r="BP15" s="346">
        <v>5035.7918200000004</v>
      </c>
      <c r="BQ15" s="318">
        <v>2136.4253900000003</v>
      </c>
      <c r="BR15" s="278">
        <v>6.15923</v>
      </c>
      <c r="BS15" s="475">
        <v>-1344.9396000000002</v>
      </c>
      <c r="BT15" s="278">
        <v>55</v>
      </c>
      <c r="BU15" s="278">
        <v>8.8781200000000009</v>
      </c>
      <c r="BV15" s="345">
        <v>7445.1776</v>
      </c>
      <c r="BX15" s="278">
        <v>8750</v>
      </c>
      <c r="BY15" s="483">
        <v>35.739940000000004</v>
      </c>
      <c r="BZ15" s="483">
        <v>-1200</v>
      </c>
      <c r="CA15" s="260"/>
      <c r="CB15" s="347">
        <v>9.8000000000000007</v>
      </c>
      <c r="CC15" s="486">
        <f t="shared" si="0"/>
        <v>9.8000000000000007</v>
      </c>
      <c r="CD15" s="287"/>
      <c r="CE15" s="278"/>
      <c r="CF15" s="268"/>
      <c r="CG15" s="266"/>
      <c r="CI15" s="158">
        <v>0</v>
      </c>
      <c r="CJ15" s="343">
        <v>3555.2496797158988</v>
      </c>
      <c r="CK15" s="343">
        <v>3469.6888984308207</v>
      </c>
      <c r="CL15" s="343">
        <v>3462.7583738502531</v>
      </c>
      <c r="CM15" s="487">
        <v>3440.2650686651923</v>
      </c>
      <c r="CN15" s="487">
        <v>3627.0621150936217</v>
      </c>
      <c r="CO15" s="495">
        <v>265.84199999999998</v>
      </c>
      <c r="CP15" s="299"/>
      <c r="CQ15" s="489">
        <v>0</v>
      </c>
      <c r="CR15" s="489">
        <v>0</v>
      </c>
    </row>
    <row r="16" spans="1:96" x14ac:dyDescent="0.2">
      <c r="A16" s="154">
        <v>61</v>
      </c>
      <c r="B16" s="156" t="s">
        <v>50</v>
      </c>
      <c r="C16" s="337">
        <v>16459</v>
      </c>
      <c r="D16" s="276">
        <v>20.5</v>
      </c>
      <c r="E16" s="185"/>
      <c r="G16" s="278">
        <v>18659.383760000001</v>
      </c>
      <c r="H16" s="278">
        <v>127041.88439000001</v>
      </c>
      <c r="I16" s="278"/>
      <c r="J16" s="278">
        <v>55085.3364</v>
      </c>
      <c r="K16" s="278">
        <v>6721.1290899999995</v>
      </c>
      <c r="L16" s="278">
        <v>4991.4695300000003</v>
      </c>
      <c r="M16" s="278">
        <v>66797.935020000004</v>
      </c>
      <c r="N16" s="278">
        <v>50180.029000000002</v>
      </c>
      <c r="O16" s="278">
        <v>14.18337</v>
      </c>
      <c r="P16" s="278">
        <v>410.18448999999998</v>
      </c>
      <c r="Q16" s="278">
        <v>123.7825</v>
      </c>
      <c r="R16" s="278">
        <v>5.38443</v>
      </c>
      <c r="S16" s="278">
        <v>8317.8603399999993</v>
      </c>
      <c r="U16" s="278">
        <v>6215.3606</v>
      </c>
      <c r="V16" s="278">
        <v>0</v>
      </c>
      <c r="W16" s="278">
        <v>0</v>
      </c>
      <c r="X16" s="278">
        <v>2102.4997400000002</v>
      </c>
      <c r="Y16" s="278">
        <v>-86.87491</v>
      </c>
      <c r="Z16" s="278">
        <v>0</v>
      </c>
      <c r="AA16" s="278">
        <v>0</v>
      </c>
      <c r="AB16" s="278">
        <v>2189.3746499999997</v>
      </c>
      <c r="AD16" s="278">
        <v>12243.707970000001</v>
      </c>
      <c r="AE16" s="157">
        <v>8286.1059100000002</v>
      </c>
      <c r="AF16" s="184">
        <v>-31.754429999999999</v>
      </c>
      <c r="AG16" s="278">
        <v>-14669.57026</v>
      </c>
      <c r="AH16" s="278">
        <v>773.75</v>
      </c>
      <c r="AI16" s="184">
        <v>81.340100000000007</v>
      </c>
      <c r="AJ16" s="278">
        <v>27356.865559999998</v>
      </c>
      <c r="AL16" s="278">
        <v>65552.254310000004</v>
      </c>
      <c r="AM16" s="184">
        <v>-500</v>
      </c>
      <c r="AN16" s="278">
        <v>3978.0885899999998</v>
      </c>
      <c r="AO16" s="355">
        <v>16469</v>
      </c>
      <c r="AP16" s="344">
        <v>7.86</v>
      </c>
      <c r="AQ16" s="462"/>
      <c r="AS16" s="469">
        <v>17860.513649999997</v>
      </c>
      <c r="AT16" s="278">
        <v>54089.511109999999</v>
      </c>
      <c r="AU16" s="464"/>
      <c r="AV16" s="346">
        <v>26143.5602</v>
      </c>
      <c r="AW16" s="346">
        <v>4741.3662599999998</v>
      </c>
      <c r="AX16" s="346">
        <v>5316.26134</v>
      </c>
      <c r="AY16" s="346">
        <v>36201.1878</v>
      </c>
      <c r="AZ16" s="346">
        <v>12868.508</v>
      </c>
      <c r="BA16" s="278">
        <v>222.37875</v>
      </c>
      <c r="BB16" s="345">
        <v>448.85041999999999</v>
      </c>
      <c r="BC16" s="278">
        <v>140.62514999999999</v>
      </c>
      <c r="BD16" s="278">
        <v>7.4726099999999995</v>
      </c>
      <c r="BE16" s="346">
        <v>12747.379210000001</v>
      </c>
      <c r="BG16" s="343">
        <v>7250.5371699999996</v>
      </c>
      <c r="BH16" s="343">
        <v>0</v>
      </c>
      <c r="BI16" s="343">
        <v>0</v>
      </c>
      <c r="BJ16" s="346">
        <v>5496.8420400000005</v>
      </c>
      <c r="BK16" s="346">
        <v>-526.58665000000008</v>
      </c>
      <c r="BL16" s="346">
        <v>0</v>
      </c>
      <c r="BM16" s="343">
        <v>0</v>
      </c>
      <c r="BN16" s="346">
        <v>6023.4286900000006</v>
      </c>
      <c r="BP16" s="346">
        <v>18267.136660000004</v>
      </c>
      <c r="BQ16" s="318">
        <v>12668.18922</v>
      </c>
      <c r="BR16" s="278">
        <v>-79.189990000000009</v>
      </c>
      <c r="BS16" s="475">
        <v>-9294.1707799999986</v>
      </c>
      <c r="BT16" s="278">
        <v>404</v>
      </c>
      <c r="BU16" s="278">
        <v>154.80876999999998</v>
      </c>
      <c r="BV16" s="345">
        <v>17816.074120000001</v>
      </c>
      <c r="BX16" s="278">
        <v>54312.897960000002</v>
      </c>
      <c r="BY16" s="483">
        <v>168.18792999999999</v>
      </c>
      <c r="BZ16" s="483">
        <v>-11239.35635</v>
      </c>
      <c r="CA16" s="260"/>
      <c r="CB16" s="347">
        <v>8.1999999999999993</v>
      </c>
      <c r="CC16" s="486">
        <f t="shared" si="0"/>
        <v>8.1999999999999993</v>
      </c>
      <c r="CD16" s="287"/>
      <c r="CE16" s="278"/>
      <c r="CF16" s="268"/>
      <c r="CI16" s="158">
        <v>0</v>
      </c>
      <c r="CJ16" s="343">
        <v>9982.302773172978</v>
      </c>
      <c r="CK16" s="343">
        <v>11980.29456953618</v>
      </c>
      <c r="CL16" s="343">
        <v>12393.627139828986</v>
      </c>
      <c r="CM16" s="487">
        <v>11835.407685652099</v>
      </c>
      <c r="CN16" s="487">
        <v>13664.977452634272</v>
      </c>
      <c r="CO16" s="495">
        <v>1382.896</v>
      </c>
      <c r="CP16" s="299"/>
      <c r="CQ16" s="489">
        <v>0</v>
      </c>
      <c r="CR16" s="489">
        <v>0</v>
      </c>
    </row>
    <row r="17" spans="1:96" x14ac:dyDescent="0.2">
      <c r="A17" s="154">
        <v>69</v>
      </c>
      <c r="B17" s="156" t="s">
        <v>51</v>
      </c>
      <c r="C17" s="337">
        <v>6687</v>
      </c>
      <c r="D17" s="276">
        <v>22.5</v>
      </c>
      <c r="E17" s="185"/>
      <c r="G17" s="278">
        <v>6007.2167199999994</v>
      </c>
      <c r="H17" s="278">
        <v>57330.589090000001</v>
      </c>
      <c r="I17" s="278"/>
      <c r="J17" s="278">
        <v>22320.241489999997</v>
      </c>
      <c r="K17" s="278">
        <v>2183.8820299999998</v>
      </c>
      <c r="L17" s="278">
        <v>2849.89653</v>
      </c>
      <c r="M17" s="278">
        <v>27354.020049999999</v>
      </c>
      <c r="N17" s="278">
        <v>26782.003000000001</v>
      </c>
      <c r="O17" s="278">
        <v>6.1500000000000001E-3</v>
      </c>
      <c r="P17" s="278">
        <v>362.91320000000002</v>
      </c>
      <c r="Q17" s="278">
        <v>643.07593999999995</v>
      </c>
      <c r="R17" s="278">
        <v>1579.7789499999999</v>
      </c>
      <c r="S17" s="278">
        <v>1513.0406200000002</v>
      </c>
      <c r="U17" s="278">
        <v>2310.01287</v>
      </c>
      <c r="V17" s="278">
        <v>0</v>
      </c>
      <c r="W17" s="278">
        <v>0</v>
      </c>
      <c r="X17" s="278">
        <v>-796.97225000000003</v>
      </c>
      <c r="Y17" s="278">
        <v>-85.466039999999992</v>
      </c>
      <c r="Z17" s="278">
        <v>0</v>
      </c>
      <c r="AA17" s="278">
        <v>0</v>
      </c>
      <c r="AB17" s="278">
        <v>-711.50621000000001</v>
      </c>
      <c r="AD17" s="278">
        <v>-6022.8400799999999</v>
      </c>
      <c r="AE17" s="157">
        <v>1332.4297900000001</v>
      </c>
      <c r="AF17" s="184">
        <v>-180.61082999999999</v>
      </c>
      <c r="AG17" s="278">
        <v>-6786.66687</v>
      </c>
      <c r="AH17" s="278">
        <v>32.218769999999999</v>
      </c>
      <c r="AI17" s="184">
        <v>502.29500000000002</v>
      </c>
      <c r="AJ17" s="278">
        <v>16180.704980000002</v>
      </c>
      <c r="AL17" s="278">
        <v>42914.695</v>
      </c>
      <c r="AM17" s="184">
        <v>0</v>
      </c>
      <c r="AN17" s="278">
        <v>1363.7560000000001</v>
      </c>
      <c r="AO17" s="355">
        <v>6558</v>
      </c>
      <c r="AP17" s="344">
        <v>9.86</v>
      </c>
      <c r="AQ17" s="462"/>
      <c r="AS17" s="469">
        <v>4702.7692300000008</v>
      </c>
      <c r="AT17" s="278">
        <v>25587.90698</v>
      </c>
      <c r="AU17" s="464"/>
      <c r="AV17" s="346">
        <v>11410.149640000001</v>
      </c>
      <c r="AW17" s="346">
        <v>1846.40174</v>
      </c>
      <c r="AX17" s="346">
        <v>3029.9000799999999</v>
      </c>
      <c r="AY17" s="346">
        <v>16286.45146</v>
      </c>
      <c r="AZ17" s="346">
        <v>6982.8950000000004</v>
      </c>
      <c r="BA17" s="278">
        <v>0.26512999999999998</v>
      </c>
      <c r="BB17" s="345">
        <v>878.01945000000001</v>
      </c>
      <c r="BC17" s="278">
        <v>1382.9263500000002</v>
      </c>
      <c r="BD17" s="278">
        <v>696.60450000000003</v>
      </c>
      <c r="BE17" s="346">
        <v>2192.7762400000001</v>
      </c>
      <c r="BG17" s="343">
        <v>2301.4972000000002</v>
      </c>
      <c r="BH17" s="346">
        <v>0</v>
      </c>
      <c r="BI17" s="343">
        <v>0</v>
      </c>
      <c r="BJ17" s="346">
        <v>-108.72096000000001</v>
      </c>
      <c r="BK17" s="346">
        <v>-85.466039999999992</v>
      </c>
      <c r="BL17" s="346">
        <v>0</v>
      </c>
      <c r="BM17" s="346">
        <v>0</v>
      </c>
      <c r="BN17" s="346">
        <v>-23.254919999999998</v>
      </c>
      <c r="BP17" s="346">
        <v>-6046.0950000000003</v>
      </c>
      <c r="BQ17" s="318">
        <v>2077.9740500000003</v>
      </c>
      <c r="BR17" s="278">
        <v>-114.80219</v>
      </c>
      <c r="BS17" s="475">
        <v>-11370.552539999999</v>
      </c>
      <c r="BT17" s="278">
        <v>212.274</v>
      </c>
      <c r="BU17" s="278">
        <v>223.50299999999999</v>
      </c>
      <c r="BV17" s="345">
        <v>20941.633010000001</v>
      </c>
      <c r="BX17" s="278">
        <v>56813.516240000004</v>
      </c>
      <c r="BY17" s="483">
        <v>-300</v>
      </c>
      <c r="BZ17" s="483">
        <v>13898.821240000001</v>
      </c>
      <c r="CA17" s="260"/>
      <c r="CB17" s="347">
        <v>10.199999999999999</v>
      </c>
      <c r="CC17" s="486">
        <f t="shared" si="0"/>
        <v>10.199999999999999</v>
      </c>
      <c r="CD17" s="287"/>
      <c r="CE17" s="278"/>
      <c r="CF17" s="268"/>
      <c r="CG17" s="266"/>
      <c r="CI17" s="158">
        <v>0</v>
      </c>
      <c r="CJ17" s="343">
        <v>5138.3477094734108</v>
      </c>
      <c r="CK17" s="343">
        <v>4798.4539884732312</v>
      </c>
      <c r="CL17" s="343">
        <v>5387.9686240312421</v>
      </c>
      <c r="CM17" s="487">
        <v>5302.1168869044832</v>
      </c>
      <c r="CN17" s="487">
        <v>6035.8810844246664</v>
      </c>
      <c r="CO17" s="495">
        <v>532.44899999999996</v>
      </c>
      <c r="CP17" s="299"/>
      <c r="CQ17" s="489">
        <v>0</v>
      </c>
      <c r="CR17" s="489">
        <v>0</v>
      </c>
    </row>
    <row r="18" spans="1:96" x14ac:dyDescent="0.2">
      <c r="A18" s="154">
        <v>71</v>
      </c>
      <c r="B18" s="156" t="s">
        <v>52</v>
      </c>
      <c r="C18" s="337">
        <v>6591</v>
      </c>
      <c r="D18" s="276">
        <v>22</v>
      </c>
      <c r="E18" s="185"/>
      <c r="G18" s="278">
        <v>19373.574829999998</v>
      </c>
      <c r="H18" s="278">
        <v>70121.392609999995</v>
      </c>
      <c r="I18" s="278"/>
      <c r="J18" s="278">
        <v>19958.145780000003</v>
      </c>
      <c r="K18" s="278">
        <v>2010.6106599999998</v>
      </c>
      <c r="L18" s="278">
        <v>1699.34313</v>
      </c>
      <c r="M18" s="278">
        <v>23668.099569999998</v>
      </c>
      <c r="N18" s="278">
        <v>28519.222000000002</v>
      </c>
      <c r="O18" s="278">
        <v>154.18666000000002</v>
      </c>
      <c r="P18" s="278">
        <v>453.27108000000004</v>
      </c>
      <c r="Q18" s="278">
        <v>4687.2656500000003</v>
      </c>
      <c r="R18" s="278">
        <v>5024.9163799999997</v>
      </c>
      <c r="S18" s="278">
        <v>802.76864</v>
      </c>
      <c r="U18" s="278">
        <v>1456.3505400000001</v>
      </c>
      <c r="V18" s="278">
        <v>0</v>
      </c>
      <c r="W18" s="278">
        <v>0</v>
      </c>
      <c r="X18" s="278">
        <v>-653.58190000000002</v>
      </c>
      <c r="Y18" s="278">
        <v>0</v>
      </c>
      <c r="Z18" s="278">
        <v>0</v>
      </c>
      <c r="AA18" s="278">
        <v>0</v>
      </c>
      <c r="AB18" s="278">
        <v>-653.58190000000002</v>
      </c>
      <c r="AD18" s="278">
        <v>2504.1338100000003</v>
      </c>
      <c r="AE18" s="157">
        <v>902.47498999999993</v>
      </c>
      <c r="AF18" s="184">
        <v>99.70635</v>
      </c>
      <c r="AG18" s="278">
        <v>-4706.5616399999999</v>
      </c>
      <c r="AH18" s="278">
        <v>333.64911999999998</v>
      </c>
      <c r="AI18" s="184">
        <v>403.39553999999998</v>
      </c>
      <c r="AJ18" s="278">
        <v>9474.1789600000011</v>
      </c>
      <c r="AL18" s="278">
        <v>42592</v>
      </c>
      <c r="AM18" s="184">
        <v>122.31199000000001</v>
      </c>
      <c r="AN18" s="278">
        <v>3148</v>
      </c>
      <c r="AO18" s="355">
        <v>6473</v>
      </c>
      <c r="AP18" s="344">
        <v>9.3600000000000012</v>
      </c>
      <c r="AQ18" s="462"/>
      <c r="AS18" s="469">
        <v>6276.4245300000002</v>
      </c>
      <c r="AT18" s="278">
        <v>27378.219920000003</v>
      </c>
      <c r="AU18" s="464"/>
      <c r="AV18" s="346">
        <v>10323.018480000001</v>
      </c>
      <c r="AW18" s="346">
        <v>1270.6454099999999</v>
      </c>
      <c r="AX18" s="346">
        <v>1964.3853899999999</v>
      </c>
      <c r="AY18" s="346">
        <v>13558.049279999999</v>
      </c>
      <c r="AZ18" s="346">
        <v>10444.880999999999</v>
      </c>
      <c r="BA18" s="278">
        <v>164.67035000000001</v>
      </c>
      <c r="BB18" s="345">
        <v>955.7966899999999</v>
      </c>
      <c r="BC18" s="278">
        <v>3590.7835800000003</v>
      </c>
      <c r="BD18" s="278">
        <v>2770.0105199999998</v>
      </c>
      <c r="BE18" s="346">
        <v>2930.78161</v>
      </c>
      <c r="BG18" s="343">
        <v>1479.1047699999999</v>
      </c>
      <c r="BH18" s="343">
        <v>0</v>
      </c>
      <c r="BI18" s="343">
        <v>0</v>
      </c>
      <c r="BJ18" s="346">
        <v>1451.6768400000001</v>
      </c>
      <c r="BK18" s="343">
        <v>0</v>
      </c>
      <c r="BL18" s="343">
        <v>0</v>
      </c>
      <c r="BM18" s="343">
        <v>0</v>
      </c>
      <c r="BN18" s="346">
        <v>1451.6768400000001</v>
      </c>
      <c r="BP18" s="346">
        <v>3652.7667900000001</v>
      </c>
      <c r="BQ18" s="318">
        <v>2904.5315599999999</v>
      </c>
      <c r="BR18" s="278">
        <v>-26.250049999999998</v>
      </c>
      <c r="BS18" s="475">
        <v>-921.23649</v>
      </c>
      <c r="BT18" s="278">
        <v>51.335519999999995</v>
      </c>
      <c r="BU18" s="278">
        <v>51.71658</v>
      </c>
      <c r="BV18" s="345">
        <v>8631.4993800000011</v>
      </c>
      <c r="BX18" s="278">
        <v>42655.384610000001</v>
      </c>
      <c r="BY18" s="483">
        <v>-22.717320000000001</v>
      </c>
      <c r="BZ18" s="483">
        <v>63.384610000000002</v>
      </c>
      <c r="CA18" s="260"/>
      <c r="CB18" s="347">
        <v>9.4</v>
      </c>
      <c r="CC18" s="486">
        <f t="shared" si="0"/>
        <v>9.4</v>
      </c>
      <c r="CD18" s="287"/>
      <c r="CE18" s="278"/>
      <c r="CF18" s="268"/>
      <c r="CI18" s="158">
        <v>0</v>
      </c>
      <c r="CJ18" s="343">
        <v>9260.2208001478975</v>
      </c>
      <c r="CK18" s="343">
        <v>9560.535558788617</v>
      </c>
      <c r="CL18" s="343">
        <v>10204.269317269318</v>
      </c>
      <c r="CM18" s="487">
        <v>10534.216743825005</v>
      </c>
      <c r="CN18" s="487">
        <v>11448.119283518701</v>
      </c>
      <c r="CO18" s="495">
        <v>601.34500000000003</v>
      </c>
      <c r="CP18" s="299"/>
      <c r="CQ18" s="489">
        <v>0</v>
      </c>
      <c r="CR18" s="489">
        <v>0</v>
      </c>
    </row>
    <row r="19" spans="1:96" x14ac:dyDescent="0.2">
      <c r="A19" s="154">
        <v>72</v>
      </c>
      <c r="B19" s="156" t="s">
        <v>53</v>
      </c>
      <c r="C19" s="337">
        <v>960</v>
      </c>
      <c r="D19" s="276">
        <v>20.5</v>
      </c>
      <c r="E19" s="185"/>
      <c r="G19" s="278">
        <v>1891.5398400000001</v>
      </c>
      <c r="H19" s="278">
        <v>9205.794890000001</v>
      </c>
      <c r="I19" s="278"/>
      <c r="J19" s="278">
        <v>3685.59681</v>
      </c>
      <c r="K19" s="278">
        <v>185.22873999999999</v>
      </c>
      <c r="L19" s="278">
        <v>362.55326000000002</v>
      </c>
      <c r="M19" s="278">
        <v>4233.3788099999992</v>
      </c>
      <c r="N19" s="278">
        <v>3991.2530000000002</v>
      </c>
      <c r="O19" s="278">
        <v>4.1281099999999995</v>
      </c>
      <c r="P19" s="278">
        <v>13.940760000000001</v>
      </c>
      <c r="Q19" s="278">
        <v>6.0323799999999999</v>
      </c>
      <c r="R19" s="278">
        <v>6.1715799999999996</v>
      </c>
      <c r="S19" s="278">
        <v>900.42491000000007</v>
      </c>
      <c r="U19" s="278">
        <v>518.42858999999999</v>
      </c>
      <c r="V19" s="278">
        <v>0</v>
      </c>
      <c r="W19" s="278">
        <v>0</v>
      </c>
      <c r="X19" s="278">
        <v>381.99632000000003</v>
      </c>
      <c r="Y19" s="278">
        <v>-91.871960000000001</v>
      </c>
      <c r="Z19" s="278">
        <v>0</v>
      </c>
      <c r="AA19" s="278">
        <v>0</v>
      </c>
      <c r="AB19" s="278">
        <v>473.86828000000003</v>
      </c>
      <c r="AD19" s="278">
        <v>3536.0846699999997</v>
      </c>
      <c r="AE19" s="157">
        <v>785.65877999999998</v>
      </c>
      <c r="AF19" s="184">
        <v>-114.76613</v>
      </c>
      <c r="AG19" s="278">
        <v>-166.51670999999999</v>
      </c>
      <c r="AH19" s="278">
        <v>0</v>
      </c>
      <c r="AI19" s="184">
        <v>123.57599999999999</v>
      </c>
      <c r="AJ19" s="278">
        <v>672.53982999999994</v>
      </c>
      <c r="AL19" s="278">
        <v>1842.4169999999997</v>
      </c>
      <c r="AM19" s="184">
        <v>0</v>
      </c>
      <c r="AN19" s="278">
        <v>-365.92200000000003</v>
      </c>
      <c r="AO19" s="355">
        <v>948</v>
      </c>
      <c r="AP19" s="344">
        <v>7.86</v>
      </c>
      <c r="AQ19" s="462"/>
      <c r="AS19" s="469">
        <v>1563.8448999999998</v>
      </c>
      <c r="AT19" s="278">
        <v>4415.4777899999999</v>
      </c>
      <c r="AU19" s="464"/>
      <c r="AV19" s="346">
        <v>1604.4403799999998</v>
      </c>
      <c r="AW19" s="346">
        <v>118.64877</v>
      </c>
      <c r="AX19" s="346">
        <v>367.75292999999999</v>
      </c>
      <c r="AY19" s="346">
        <v>2090.8420799999999</v>
      </c>
      <c r="AZ19" s="346">
        <v>1501.981</v>
      </c>
      <c r="BA19" s="278">
        <v>8.8604099999999999</v>
      </c>
      <c r="BB19" s="345">
        <v>16.51145</v>
      </c>
      <c r="BC19" s="278">
        <v>12.347899999999999</v>
      </c>
      <c r="BD19" s="278">
        <v>15.184760000000001</v>
      </c>
      <c r="BE19" s="346">
        <v>730.70229000000006</v>
      </c>
      <c r="BG19" s="343">
        <v>724.97107999999992</v>
      </c>
      <c r="BH19" s="346">
        <v>0</v>
      </c>
      <c r="BI19" s="343">
        <v>0</v>
      </c>
      <c r="BJ19" s="346">
        <v>5.7312099999999999</v>
      </c>
      <c r="BK19" s="346">
        <v>-88.327199999999991</v>
      </c>
      <c r="BL19" s="346">
        <v>0</v>
      </c>
      <c r="BM19" s="343">
        <v>0</v>
      </c>
      <c r="BN19" s="346">
        <v>94.058410000000009</v>
      </c>
      <c r="BP19" s="346">
        <v>3630.1430799999998</v>
      </c>
      <c r="BQ19" s="318">
        <v>730.70229000000006</v>
      </c>
      <c r="BR19" s="278">
        <v>0</v>
      </c>
      <c r="BS19" s="475">
        <v>-183.28359</v>
      </c>
      <c r="BT19" s="278">
        <v>35.377809999999997</v>
      </c>
      <c r="BU19" s="278">
        <v>0</v>
      </c>
      <c r="BV19" s="345">
        <v>854.9905500000001</v>
      </c>
      <c r="BX19" s="278">
        <v>1501.4950000000001</v>
      </c>
      <c r="BY19" s="483">
        <v>0</v>
      </c>
      <c r="BZ19" s="483">
        <v>-340.92200000000003</v>
      </c>
      <c r="CA19" s="260"/>
      <c r="CB19" s="347">
        <v>7.9</v>
      </c>
      <c r="CC19" s="486">
        <f t="shared" si="0"/>
        <v>7.9</v>
      </c>
      <c r="CD19" s="287"/>
      <c r="CE19" s="278"/>
      <c r="CF19" s="268"/>
      <c r="CI19" s="158">
        <v>0</v>
      </c>
      <c r="CJ19" s="343">
        <v>1215.1451671198406</v>
      </c>
      <c r="CK19" s="343">
        <v>1401.5146385993087</v>
      </c>
      <c r="CL19" s="343">
        <v>1329.0706882072996</v>
      </c>
      <c r="CM19" s="487">
        <v>1335.4654958790975</v>
      </c>
      <c r="CN19" s="487">
        <v>1439.8067682233232</v>
      </c>
      <c r="CO19" s="495">
        <v>-252.05099999999999</v>
      </c>
      <c r="CP19" s="299"/>
      <c r="CQ19" s="489">
        <v>0</v>
      </c>
      <c r="CR19" s="489">
        <v>0</v>
      </c>
    </row>
    <row r="20" spans="1:96" x14ac:dyDescent="0.2">
      <c r="A20" s="154">
        <v>74</v>
      </c>
      <c r="B20" s="156" t="s">
        <v>54</v>
      </c>
      <c r="C20" s="337">
        <v>1052</v>
      </c>
      <c r="D20" s="276">
        <v>23.500000000000004</v>
      </c>
      <c r="E20" s="185"/>
      <c r="G20" s="278">
        <v>1203.4405099999999</v>
      </c>
      <c r="H20" s="278">
        <v>9641.4987799999999</v>
      </c>
      <c r="I20" s="278"/>
      <c r="J20" s="278">
        <v>3274.1117799999997</v>
      </c>
      <c r="K20" s="278">
        <v>606.00784999999996</v>
      </c>
      <c r="L20" s="278">
        <v>405.42678999999998</v>
      </c>
      <c r="M20" s="278">
        <v>4285.5464199999997</v>
      </c>
      <c r="N20" s="278">
        <v>4867.2849999999999</v>
      </c>
      <c r="O20" s="278">
        <v>14.770910000000001</v>
      </c>
      <c r="P20" s="278">
        <v>35.538719999999998</v>
      </c>
      <c r="Q20" s="278">
        <v>90.369869999999992</v>
      </c>
      <c r="R20" s="278">
        <v>2.0403099999999998</v>
      </c>
      <c r="S20" s="278">
        <v>782.33490000000006</v>
      </c>
      <c r="U20" s="278">
        <v>170.89680999999999</v>
      </c>
      <c r="V20" s="278">
        <v>0</v>
      </c>
      <c r="W20" s="278">
        <v>0</v>
      </c>
      <c r="X20" s="278">
        <v>611.43808999999999</v>
      </c>
      <c r="Y20" s="278">
        <v>0</v>
      </c>
      <c r="Z20" s="278">
        <v>0</v>
      </c>
      <c r="AA20" s="278">
        <v>0</v>
      </c>
      <c r="AB20" s="278">
        <v>611.43808999999999</v>
      </c>
      <c r="AD20" s="278">
        <v>1235.13419</v>
      </c>
      <c r="AE20" s="157">
        <v>766.36</v>
      </c>
      <c r="AF20" s="184">
        <v>-15.975</v>
      </c>
      <c r="AG20" s="278">
        <v>-244.887</v>
      </c>
      <c r="AH20" s="278">
        <v>0</v>
      </c>
      <c r="AI20" s="184">
        <v>16.050999999999998</v>
      </c>
      <c r="AJ20" s="278">
        <v>0</v>
      </c>
      <c r="AL20" s="278">
        <v>5294.3656899999996</v>
      </c>
      <c r="AM20" s="184">
        <v>-82.966999999999999</v>
      </c>
      <c r="AN20" s="278">
        <v>-206.79400000000001</v>
      </c>
      <c r="AO20" s="355">
        <v>1013</v>
      </c>
      <c r="AP20" s="344">
        <v>10.86</v>
      </c>
      <c r="AQ20" s="462"/>
      <c r="AS20" s="469">
        <v>1366.63831</v>
      </c>
      <c r="AT20" s="278">
        <v>4732.2432699999999</v>
      </c>
      <c r="AU20" s="464"/>
      <c r="AV20" s="346">
        <v>1842.4441100000001</v>
      </c>
      <c r="AW20" s="346">
        <v>344.60977000000003</v>
      </c>
      <c r="AX20" s="346">
        <v>385.42240000000004</v>
      </c>
      <c r="AY20" s="346">
        <v>2572.4762799999999</v>
      </c>
      <c r="AZ20" s="346">
        <v>1132.3979999999999</v>
      </c>
      <c r="BA20" s="278">
        <v>1.17875</v>
      </c>
      <c r="BB20" s="345">
        <v>170.44084000000001</v>
      </c>
      <c r="BC20" s="278">
        <v>23.856630000000003</v>
      </c>
      <c r="BD20" s="278">
        <v>2.3444499999999997</v>
      </c>
      <c r="BE20" s="346">
        <v>191.51940999999999</v>
      </c>
      <c r="BG20" s="343">
        <v>155.59868</v>
      </c>
      <c r="BH20" s="343">
        <v>0</v>
      </c>
      <c r="BI20" s="343">
        <v>0</v>
      </c>
      <c r="BJ20" s="346">
        <v>35.920730000000006</v>
      </c>
      <c r="BK20" s="343">
        <v>0</v>
      </c>
      <c r="BL20" s="343">
        <v>0</v>
      </c>
      <c r="BM20" s="343">
        <v>0</v>
      </c>
      <c r="BN20" s="346">
        <v>35.920730000000006</v>
      </c>
      <c r="BP20" s="346">
        <v>1271.05492</v>
      </c>
      <c r="BQ20" s="318">
        <v>180.01940999999999</v>
      </c>
      <c r="BR20" s="278">
        <v>-11.5</v>
      </c>
      <c r="BS20" s="475">
        <v>-581.97685000000001</v>
      </c>
      <c r="BT20" s="278">
        <v>0</v>
      </c>
      <c r="BU20" s="278">
        <v>11.5</v>
      </c>
      <c r="BV20" s="345">
        <v>126.72946</v>
      </c>
      <c r="BX20" s="278">
        <v>5083.1761100000003</v>
      </c>
      <c r="BY20" s="483">
        <v>25.032919999999997</v>
      </c>
      <c r="BZ20" s="483">
        <v>-211.17276000000001</v>
      </c>
      <c r="CA20" s="260"/>
      <c r="CB20" s="347">
        <v>10.800000000000002</v>
      </c>
      <c r="CC20" s="486">
        <f t="shared" si="0"/>
        <v>10.800000000000002</v>
      </c>
      <c r="CD20" s="287"/>
      <c r="CE20" s="278"/>
      <c r="CF20" s="268"/>
      <c r="CG20" s="266"/>
      <c r="CI20" s="158">
        <v>0</v>
      </c>
      <c r="CJ20" s="343">
        <v>1227.7520999421599</v>
      </c>
      <c r="CK20" s="343">
        <v>1303.4069865377085</v>
      </c>
      <c r="CL20" s="343">
        <v>1205.2716527118155</v>
      </c>
      <c r="CM20" s="487">
        <v>1209.5788728763241</v>
      </c>
      <c r="CN20" s="487">
        <v>1357.7121090020767</v>
      </c>
      <c r="CO20" s="495">
        <v>-300.8</v>
      </c>
      <c r="CP20" s="299"/>
      <c r="CQ20" s="489">
        <v>0</v>
      </c>
      <c r="CR20" s="489">
        <v>0</v>
      </c>
    </row>
    <row r="21" spans="1:96" x14ac:dyDescent="0.2">
      <c r="A21" s="154">
        <v>75</v>
      </c>
      <c r="B21" s="156" t="s">
        <v>55</v>
      </c>
      <c r="C21" s="337">
        <v>19549</v>
      </c>
      <c r="D21" s="276">
        <v>21</v>
      </c>
      <c r="E21" s="185"/>
      <c r="G21" s="278">
        <v>31986.60197</v>
      </c>
      <c r="H21" s="278">
        <v>166054.81247</v>
      </c>
      <c r="I21" s="278"/>
      <c r="J21" s="278">
        <v>74701.458040000012</v>
      </c>
      <c r="K21" s="278">
        <v>20237.809659999999</v>
      </c>
      <c r="L21" s="278">
        <v>7304.2598799999996</v>
      </c>
      <c r="M21" s="278">
        <v>102243.52757999999</v>
      </c>
      <c r="N21" s="278">
        <v>42809.353000000003</v>
      </c>
      <c r="O21" s="278">
        <v>220.23938000000001</v>
      </c>
      <c r="P21" s="278">
        <v>163.42692000000002</v>
      </c>
      <c r="Q21" s="278">
        <v>555.03154000000006</v>
      </c>
      <c r="R21" s="278">
        <v>21.88496</v>
      </c>
      <c r="S21" s="278">
        <v>11888.344730000001</v>
      </c>
      <c r="U21" s="278">
        <v>10866.272210000001</v>
      </c>
      <c r="V21" s="278">
        <v>0</v>
      </c>
      <c r="W21" s="278">
        <v>0</v>
      </c>
      <c r="X21" s="278">
        <v>1022.0725200000001</v>
      </c>
      <c r="Y21" s="278">
        <v>0</v>
      </c>
      <c r="Z21" s="278">
        <v>0</v>
      </c>
      <c r="AA21" s="278">
        <v>0</v>
      </c>
      <c r="AB21" s="278">
        <v>1022.0725200000001</v>
      </c>
      <c r="AD21" s="278">
        <v>21150.75734</v>
      </c>
      <c r="AE21" s="157">
        <v>2967.4270299999998</v>
      </c>
      <c r="AF21" s="184">
        <v>-8920.9177</v>
      </c>
      <c r="AG21" s="278">
        <v>-9568.8351999999995</v>
      </c>
      <c r="AH21" s="278">
        <v>114.94407000000001</v>
      </c>
      <c r="AI21" s="184">
        <v>17516.749500000002</v>
      </c>
      <c r="AJ21" s="278">
        <v>426.51233000000002</v>
      </c>
      <c r="AL21" s="278">
        <v>63001.755020000011</v>
      </c>
      <c r="AM21" s="184">
        <v>448.54424999999998</v>
      </c>
      <c r="AN21" s="278">
        <v>-12438.285960000001</v>
      </c>
      <c r="AO21" s="355">
        <v>19534</v>
      </c>
      <c r="AP21" s="344">
        <v>8.36</v>
      </c>
      <c r="AQ21" s="462"/>
      <c r="AS21" s="469">
        <v>21278.173409999999</v>
      </c>
      <c r="AT21" s="278">
        <v>68134.523939999999</v>
      </c>
      <c r="AU21" s="464"/>
      <c r="AV21" s="346">
        <v>37420.824500000002</v>
      </c>
      <c r="AW21" s="346">
        <v>12136.824430000001</v>
      </c>
      <c r="AX21" s="346">
        <v>7747.0695700000006</v>
      </c>
      <c r="AY21" s="346">
        <v>57304.718500000003</v>
      </c>
      <c r="AZ21" s="346">
        <v>2513.806</v>
      </c>
      <c r="BA21" s="278">
        <v>463.61684000000002</v>
      </c>
      <c r="BB21" s="345">
        <v>663.30464000000006</v>
      </c>
      <c r="BC21" s="278">
        <v>1117.8181000000002</v>
      </c>
      <c r="BD21" s="278">
        <v>268.17649</v>
      </c>
      <c r="BE21" s="346">
        <v>13922.25575</v>
      </c>
      <c r="BG21" s="343">
        <v>10150.757869999999</v>
      </c>
      <c r="BH21" s="343">
        <v>0</v>
      </c>
      <c r="BI21" s="343">
        <v>0</v>
      </c>
      <c r="BJ21" s="346">
        <v>3771.4978799999999</v>
      </c>
      <c r="BK21" s="346">
        <v>521.06854999999996</v>
      </c>
      <c r="BL21" s="343">
        <v>-525.44727999999998</v>
      </c>
      <c r="BM21" s="343">
        <v>0</v>
      </c>
      <c r="BN21" s="346">
        <v>3775.8766099999998</v>
      </c>
      <c r="BP21" s="346">
        <v>24926.632980000002</v>
      </c>
      <c r="BQ21" s="318">
        <v>13676.157999999999</v>
      </c>
      <c r="BR21" s="278">
        <v>-246.09800000000001</v>
      </c>
      <c r="BS21" s="475">
        <v>-22323.294999999998</v>
      </c>
      <c r="BT21" s="278">
        <v>166.07599999999999</v>
      </c>
      <c r="BU21" s="278">
        <v>826.58</v>
      </c>
      <c r="BV21" s="345">
        <v>441.75</v>
      </c>
      <c r="BX21" s="278">
        <v>77871.54754</v>
      </c>
      <c r="BY21" s="483">
        <v>640.87300000000005</v>
      </c>
      <c r="BZ21" s="483">
        <v>14869.791999999999</v>
      </c>
      <c r="CA21" s="260"/>
      <c r="CB21" s="347">
        <v>9.4000000000000021</v>
      </c>
      <c r="CC21" s="486">
        <f t="shared" si="0"/>
        <v>9.4000000000000021</v>
      </c>
      <c r="CD21" s="287"/>
      <c r="CE21" s="278"/>
      <c r="CF21" s="268"/>
      <c r="CI21" s="158">
        <v>0</v>
      </c>
      <c r="CJ21" s="343">
        <v>-3267.1263389221435</v>
      </c>
      <c r="CK21" s="343">
        <v>-1576.0881914263912</v>
      </c>
      <c r="CL21" s="343">
        <v>1811.61893781974</v>
      </c>
      <c r="CM21" s="487">
        <v>1659.32740876555</v>
      </c>
      <c r="CN21" s="487">
        <v>3256.2577766499676</v>
      </c>
      <c r="CO21" s="495">
        <v>-1787.6990000000001</v>
      </c>
      <c r="CP21" s="299"/>
      <c r="CQ21" s="489">
        <v>313.71560999999997</v>
      </c>
      <c r="CR21" s="489">
        <v>310.12796999999995</v>
      </c>
    </row>
    <row r="22" spans="1:96" x14ac:dyDescent="0.2">
      <c r="A22" s="154">
        <v>77</v>
      </c>
      <c r="B22" s="156" t="s">
        <v>56</v>
      </c>
      <c r="C22" s="337">
        <v>4601</v>
      </c>
      <c r="D22" s="276">
        <v>22</v>
      </c>
      <c r="E22" s="185"/>
      <c r="G22" s="278">
        <v>5587.3135700000003</v>
      </c>
      <c r="H22" s="278">
        <v>40940.09244</v>
      </c>
      <c r="I22" s="278"/>
      <c r="J22" s="278">
        <v>13854.632150000001</v>
      </c>
      <c r="K22" s="278">
        <v>1510.06576</v>
      </c>
      <c r="L22" s="278">
        <v>1477.0693100000001</v>
      </c>
      <c r="M22" s="278">
        <v>16841.767219999998</v>
      </c>
      <c r="N22" s="278">
        <v>20094.758999999998</v>
      </c>
      <c r="O22" s="278">
        <v>0.12695000000000001</v>
      </c>
      <c r="P22" s="278">
        <v>36.69173</v>
      </c>
      <c r="Q22" s="278">
        <v>235.43110999999999</v>
      </c>
      <c r="R22" s="278">
        <v>13.93637</v>
      </c>
      <c r="S22" s="278">
        <v>1768.67731</v>
      </c>
      <c r="U22" s="278">
        <v>1694.71884</v>
      </c>
      <c r="V22" s="278">
        <v>0</v>
      </c>
      <c r="W22" s="278">
        <v>0</v>
      </c>
      <c r="X22" s="278">
        <v>73.958470000000005</v>
      </c>
      <c r="Y22" s="278">
        <v>0</v>
      </c>
      <c r="Z22" s="278">
        <v>0</v>
      </c>
      <c r="AA22" s="278">
        <v>0</v>
      </c>
      <c r="AB22" s="278">
        <v>73.958470000000005</v>
      </c>
      <c r="AD22" s="278">
        <v>1001.69062</v>
      </c>
      <c r="AE22" s="157">
        <v>1412.18633</v>
      </c>
      <c r="AF22" s="184">
        <v>-356.49097999999998</v>
      </c>
      <c r="AG22" s="278">
        <v>-694.75387000000001</v>
      </c>
      <c r="AH22" s="278">
        <v>29.786000000000001</v>
      </c>
      <c r="AI22" s="184">
        <v>39.05939</v>
      </c>
      <c r="AJ22" s="278">
        <v>4054.7477799999997</v>
      </c>
      <c r="AL22" s="278">
        <v>4920.0039999999999</v>
      </c>
      <c r="AM22" s="184">
        <v>0</v>
      </c>
      <c r="AN22" s="278">
        <v>-581.49199999999996</v>
      </c>
      <c r="AO22" s="355">
        <v>4549</v>
      </c>
      <c r="AP22" s="344">
        <v>9.36</v>
      </c>
      <c r="AQ22" s="462"/>
      <c r="AS22" s="469">
        <v>4215.3008499999996</v>
      </c>
      <c r="AT22" s="278">
        <v>16129.203</v>
      </c>
      <c r="AU22" s="464"/>
      <c r="AV22" s="346">
        <v>7326.1962100000001</v>
      </c>
      <c r="AW22" s="346">
        <v>944.44017000000008</v>
      </c>
      <c r="AX22" s="346">
        <v>1533.27934</v>
      </c>
      <c r="AY22" s="346">
        <v>9803.9157200000009</v>
      </c>
      <c r="AZ22" s="346">
        <v>5012.9949999999999</v>
      </c>
      <c r="BA22" s="278">
        <v>43.27064</v>
      </c>
      <c r="BB22" s="345">
        <v>94.595799999999997</v>
      </c>
      <c r="BC22" s="278">
        <v>246.71248</v>
      </c>
      <c r="BD22" s="278">
        <v>13.095280000000001</v>
      </c>
      <c r="BE22" s="346">
        <v>3085.3006099999998</v>
      </c>
      <c r="BG22" s="343">
        <v>1674.33159</v>
      </c>
      <c r="BH22" s="343">
        <v>0</v>
      </c>
      <c r="BI22" s="343">
        <v>0</v>
      </c>
      <c r="BJ22" s="346">
        <v>1410.96902</v>
      </c>
      <c r="BK22" s="346">
        <v>0</v>
      </c>
      <c r="BL22" s="343">
        <v>0</v>
      </c>
      <c r="BM22" s="343">
        <v>0</v>
      </c>
      <c r="BN22" s="346">
        <v>1410.96902</v>
      </c>
      <c r="BP22" s="346">
        <v>2412.6596399999999</v>
      </c>
      <c r="BQ22" s="318">
        <v>3099.7094300000003</v>
      </c>
      <c r="BR22" s="278">
        <v>14.40882</v>
      </c>
      <c r="BS22" s="475">
        <v>-1118.1005400000001</v>
      </c>
      <c r="BT22" s="278">
        <v>121.4</v>
      </c>
      <c r="BU22" s="278">
        <v>6.75</v>
      </c>
      <c r="BV22" s="345">
        <v>3578.4446400000002</v>
      </c>
      <c r="BX22" s="278">
        <v>4338.5119999999997</v>
      </c>
      <c r="BY22" s="483">
        <v>-8.8959599999999988</v>
      </c>
      <c r="BZ22" s="483">
        <v>-581.49199999999996</v>
      </c>
      <c r="CA22" s="260"/>
      <c r="CB22" s="347">
        <v>9.4</v>
      </c>
      <c r="CC22" s="486">
        <f t="shared" si="0"/>
        <v>9.4</v>
      </c>
      <c r="CD22" s="287"/>
      <c r="CE22" s="278"/>
      <c r="CF22" s="268"/>
      <c r="CI22" s="158">
        <v>0</v>
      </c>
      <c r="CJ22" s="343">
        <v>3857.0822457733552</v>
      </c>
      <c r="CK22" s="343">
        <v>4226.2394102209673</v>
      </c>
      <c r="CL22" s="343">
        <v>4325.0853231377923</v>
      </c>
      <c r="CM22" s="487">
        <v>4282.6805792378318</v>
      </c>
      <c r="CN22" s="487">
        <v>4864.0752318452969</v>
      </c>
      <c r="CO22" s="495">
        <v>135.63399999999999</v>
      </c>
      <c r="CP22" s="299"/>
      <c r="CQ22" s="489">
        <v>0</v>
      </c>
      <c r="CR22" s="489">
        <v>0</v>
      </c>
    </row>
    <row r="23" spans="1:96" x14ac:dyDescent="0.2">
      <c r="A23" s="154">
        <v>78</v>
      </c>
      <c r="B23" s="156" t="s">
        <v>57</v>
      </c>
      <c r="C23" s="337">
        <v>7832</v>
      </c>
      <c r="D23" s="276">
        <v>21.75</v>
      </c>
      <c r="E23" s="185"/>
      <c r="G23" s="278">
        <v>17891.231179999999</v>
      </c>
      <c r="H23" s="278">
        <v>73913.975059999997</v>
      </c>
      <c r="I23" s="278"/>
      <c r="J23" s="278">
        <v>35337.811200000004</v>
      </c>
      <c r="K23" s="278">
        <v>5408.1735899999994</v>
      </c>
      <c r="L23" s="278">
        <v>2974.5203500000002</v>
      </c>
      <c r="M23" s="278">
        <v>43720.505140000001</v>
      </c>
      <c r="N23" s="278">
        <v>15557.41</v>
      </c>
      <c r="O23" s="278">
        <v>1764.5270600000001</v>
      </c>
      <c r="P23" s="278">
        <v>434.52638999999999</v>
      </c>
      <c r="Q23" s="278">
        <v>682.30974000000003</v>
      </c>
      <c r="R23" s="278">
        <v>12.927670000000001</v>
      </c>
      <c r="S23" s="278">
        <v>5529.1160199999995</v>
      </c>
      <c r="U23" s="278">
        <v>3366.6277099999998</v>
      </c>
      <c r="V23" s="278">
        <v>0</v>
      </c>
      <c r="W23" s="278">
        <v>0</v>
      </c>
      <c r="X23" s="278">
        <v>2162.4883100000002</v>
      </c>
      <c r="Y23" s="278">
        <v>-4.4281199999999998</v>
      </c>
      <c r="Z23" s="278">
        <v>2000</v>
      </c>
      <c r="AA23" s="278">
        <v>0</v>
      </c>
      <c r="AB23" s="278">
        <v>166.91642999999999</v>
      </c>
      <c r="AD23" s="278">
        <v>15277.000779999998</v>
      </c>
      <c r="AE23" s="157">
        <v>5253.9382699999996</v>
      </c>
      <c r="AF23" s="184">
        <v>-275.17775</v>
      </c>
      <c r="AG23" s="278">
        <v>-3489.99665</v>
      </c>
      <c r="AH23" s="278">
        <v>20</v>
      </c>
      <c r="AI23" s="184">
        <v>1183.26701</v>
      </c>
      <c r="AJ23" s="278">
        <v>590.37792000000002</v>
      </c>
      <c r="AL23" s="278">
        <v>48636.673999999999</v>
      </c>
      <c r="AM23" s="184">
        <v>14.0458</v>
      </c>
      <c r="AN23" s="278">
        <v>-6883.3320000000003</v>
      </c>
      <c r="AO23" s="355">
        <v>7721</v>
      </c>
      <c r="AP23" s="344">
        <v>9.11</v>
      </c>
      <c r="AQ23" s="462"/>
      <c r="AS23" s="469">
        <v>14581.98869</v>
      </c>
      <c r="AT23" s="278">
        <v>32940.943299999999</v>
      </c>
      <c r="AU23" s="464"/>
      <c r="AV23" s="346">
        <v>17925.278350000001</v>
      </c>
      <c r="AW23" s="346">
        <v>3710.9230699999998</v>
      </c>
      <c r="AX23" s="346">
        <v>3283.5435600000001</v>
      </c>
      <c r="AY23" s="346">
        <v>24919.744979999999</v>
      </c>
      <c r="AZ23" s="346">
        <v>70.194659999999999</v>
      </c>
      <c r="BA23" s="278">
        <v>1777.17506</v>
      </c>
      <c r="BB23" s="345">
        <v>686.05522999999994</v>
      </c>
      <c r="BC23" s="278">
        <v>110.21042999999999</v>
      </c>
      <c r="BD23" s="278">
        <v>9.0492000000000008</v>
      </c>
      <c r="BE23" s="346">
        <v>8049.3205499999995</v>
      </c>
      <c r="BG23" s="343">
        <v>3130.0679</v>
      </c>
      <c r="BH23" s="343">
        <v>0</v>
      </c>
      <c r="BI23" s="343">
        <v>0</v>
      </c>
      <c r="BJ23" s="346">
        <v>4919.2526500000004</v>
      </c>
      <c r="BK23" s="346">
        <v>0</v>
      </c>
      <c r="BL23" s="343">
        <v>0</v>
      </c>
      <c r="BM23" s="343">
        <v>0</v>
      </c>
      <c r="BN23" s="346">
        <v>4919.2526500000004</v>
      </c>
      <c r="BP23" s="346">
        <v>20196.253429999997</v>
      </c>
      <c r="BQ23" s="318">
        <v>7312.7496799999999</v>
      </c>
      <c r="BR23" s="278">
        <v>-736.57087000000001</v>
      </c>
      <c r="BS23" s="475">
        <v>-6026.89293</v>
      </c>
      <c r="BT23" s="278">
        <v>342.27249999999998</v>
      </c>
      <c r="BU23" s="278">
        <v>773.25364999999999</v>
      </c>
      <c r="BV23" s="345">
        <v>702.63175000000001</v>
      </c>
      <c r="BX23" s="278">
        <v>49253.341999999997</v>
      </c>
      <c r="BY23" s="483">
        <v>-458.62594999999999</v>
      </c>
      <c r="BZ23" s="483">
        <v>616.66800000000001</v>
      </c>
      <c r="CA23" s="260"/>
      <c r="CB23" s="347">
        <v>9.1</v>
      </c>
      <c r="CC23" s="486">
        <f t="shared" si="0"/>
        <v>9.1</v>
      </c>
      <c r="CD23" s="287"/>
      <c r="CE23" s="278"/>
      <c r="CF23" s="268"/>
      <c r="CG23" s="266"/>
      <c r="CI23" s="158">
        <v>1100</v>
      </c>
      <c r="CJ23" s="343">
        <v>-1623.6180737488869</v>
      </c>
      <c r="CK23" s="343">
        <v>-1396.7621085096007</v>
      </c>
      <c r="CL23" s="343">
        <v>-1042.4203072960188</v>
      </c>
      <c r="CM23" s="487">
        <v>-1092.9678646191755</v>
      </c>
      <c r="CN23" s="487">
        <v>-665.24995298328599</v>
      </c>
      <c r="CO23" s="495">
        <v>-524.71199999999999</v>
      </c>
      <c r="CP23" s="299"/>
      <c r="CQ23" s="489">
        <v>274.56202000000002</v>
      </c>
      <c r="CR23" s="489">
        <v>226.05446000000001</v>
      </c>
    </row>
    <row r="24" spans="1:96" x14ac:dyDescent="0.2">
      <c r="A24" s="154">
        <v>79</v>
      </c>
      <c r="B24" s="156" t="s">
        <v>58</v>
      </c>
      <c r="C24" s="337">
        <v>6753</v>
      </c>
      <c r="D24" s="276">
        <v>21.5</v>
      </c>
      <c r="E24" s="185"/>
      <c r="G24" s="278">
        <v>6686.0760099999998</v>
      </c>
      <c r="H24" s="278">
        <v>55904.933229999995</v>
      </c>
      <c r="I24" s="278"/>
      <c r="J24" s="278">
        <v>26236.4529</v>
      </c>
      <c r="K24" s="278">
        <v>12240.037420000001</v>
      </c>
      <c r="L24" s="278">
        <v>2823.2709500000001</v>
      </c>
      <c r="M24" s="278">
        <v>41299.761270000003</v>
      </c>
      <c r="N24" s="278">
        <v>13609.614</v>
      </c>
      <c r="O24" s="278">
        <v>8.2595700000000001</v>
      </c>
      <c r="P24" s="278">
        <v>68.342529999999996</v>
      </c>
      <c r="Q24" s="278">
        <v>114.59791</v>
      </c>
      <c r="R24" s="278">
        <v>6.62235</v>
      </c>
      <c r="S24" s="278">
        <v>5751.4106500000007</v>
      </c>
      <c r="U24" s="278">
        <v>2673.9277400000001</v>
      </c>
      <c r="V24" s="278">
        <v>0</v>
      </c>
      <c r="W24" s="278">
        <v>0</v>
      </c>
      <c r="X24" s="278">
        <v>3077.4829100000002</v>
      </c>
      <c r="Y24" s="278">
        <v>0</v>
      </c>
      <c r="Z24" s="278">
        <v>1500</v>
      </c>
      <c r="AA24" s="278">
        <v>0</v>
      </c>
      <c r="AB24" s="278">
        <v>1577.4829099999999</v>
      </c>
      <c r="AD24" s="278">
        <v>7709.2183199999999</v>
      </c>
      <c r="AE24" s="157">
        <v>5588.8896799999993</v>
      </c>
      <c r="AF24" s="184">
        <v>-162.52097000000001</v>
      </c>
      <c r="AG24" s="278">
        <v>-5043.4572500000004</v>
      </c>
      <c r="AH24" s="278">
        <v>0</v>
      </c>
      <c r="AI24" s="184">
        <v>1162.81683</v>
      </c>
      <c r="AJ24" s="278">
        <v>1220.25514</v>
      </c>
      <c r="AL24" s="278">
        <v>16857.157469999998</v>
      </c>
      <c r="AM24" s="184">
        <v>3.19556</v>
      </c>
      <c r="AN24" s="278">
        <v>-3857.13888</v>
      </c>
      <c r="AO24" s="355">
        <v>6703</v>
      </c>
      <c r="AP24" s="344">
        <v>8.86</v>
      </c>
      <c r="AQ24" s="462"/>
      <c r="AS24" s="469">
        <v>6312.2075100000002</v>
      </c>
      <c r="AT24" s="278">
        <v>24856.812249999999</v>
      </c>
      <c r="AU24" s="464"/>
      <c r="AV24" s="346">
        <v>13487.832699999999</v>
      </c>
      <c r="AW24" s="346">
        <v>7341.0829599999997</v>
      </c>
      <c r="AX24" s="346">
        <v>2611.7577500000002</v>
      </c>
      <c r="AY24" s="346">
        <v>23440.673409999999</v>
      </c>
      <c r="AZ24" s="346">
        <v>-1174.24</v>
      </c>
      <c r="BA24" s="278">
        <v>42.740940000000002</v>
      </c>
      <c r="BB24" s="345">
        <v>363.89209999999997</v>
      </c>
      <c r="BC24" s="278">
        <v>83.138019999999997</v>
      </c>
      <c r="BD24" s="278">
        <v>8.3543099999999999</v>
      </c>
      <c r="BE24" s="346">
        <v>3485.7112200000001</v>
      </c>
      <c r="BG24" s="343">
        <v>2914.9755</v>
      </c>
      <c r="BH24" s="343">
        <v>109.98455</v>
      </c>
      <c r="BI24" s="346">
        <v>111.57342</v>
      </c>
      <c r="BJ24" s="346">
        <v>569.14684999999997</v>
      </c>
      <c r="BK24" s="343">
        <v>0</v>
      </c>
      <c r="BL24" s="346">
        <v>0</v>
      </c>
      <c r="BM24" s="343">
        <v>0</v>
      </c>
      <c r="BN24" s="346">
        <v>569.14684999999997</v>
      </c>
      <c r="BP24" s="346">
        <v>8278.3651699999991</v>
      </c>
      <c r="BQ24" s="318">
        <v>3438.9855299999999</v>
      </c>
      <c r="BR24" s="278">
        <v>-45.13682</v>
      </c>
      <c r="BS24" s="475">
        <v>-5216.1098099999999</v>
      </c>
      <c r="BT24" s="278">
        <v>98.429199999999994</v>
      </c>
      <c r="BU24" s="278">
        <v>524.75900000000001</v>
      </c>
      <c r="BV24" s="345">
        <v>739.29728</v>
      </c>
      <c r="BX24" s="278">
        <v>19142.865729999998</v>
      </c>
      <c r="BY24" s="483">
        <v>3.1955900000000002</v>
      </c>
      <c r="BZ24" s="483">
        <v>2285.7082599999999</v>
      </c>
      <c r="CA24" s="260"/>
      <c r="CB24" s="347">
        <v>8.9</v>
      </c>
      <c r="CC24" s="486">
        <f t="shared" si="0"/>
        <v>8.9</v>
      </c>
      <c r="CD24" s="287"/>
      <c r="CE24" s="278"/>
      <c r="CF24" s="268"/>
      <c r="CI24" s="158">
        <v>0</v>
      </c>
      <c r="CJ24" s="343">
        <v>-1582.3942085413335</v>
      </c>
      <c r="CK24" s="343">
        <v>-848.87991102261651</v>
      </c>
      <c r="CL24" s="343">
        <v>-665.09575733741963</v>
      </c>
      <c r="CM24" s="487">
        <v>-440.34618368384724</v>
      </c>
      <c r="CN24" s="487">
        <v>-56.485506256192025</v>
      </c>
      <c r="CO24" s="495">
        <v>-280.67200000000003</v>
      </c>
      <c r="CP24" s="299"/>
      <c r="CQ24" s="489">
        <v>13</v>
      </c>
      <c r="CR24" s="489">
        <v>10.25</v>
      </c>
    </row>
    <row r="25" spans="1:96" x14ac:dyDescent="0.2">
      <c r="A25" s="154">
        <v>81</v>
      </c>
      <c r="B25" s="156" t="s">
        <v>59</v>
      </c>
      <c r="C25" s="337">
        <v>2574</v>
      </c>
      <c r="D25" s="276">
        <v>21.5</v>
      </c>
      <c r="E25" s="185"/>
      <c r="G25" s="278">
        <v>1759.58691</v>
      </c>
      <c r="H25" s="278">
        <v>21888.131949999999</v>
      </c>
      <c r="I25" s="278"/>
      <c r="J25" s="278">
        <v>7825.5677300000007</v>
      </c>
      <c r="K25" s="278">
        <v>1965.5764799999999</v>
      </c>
      <c r="L25" s="278">
        <v>1412.3079499999999</v>
      </c>
      <c r="M25" s="278">
        <v>11203.452160000001</v>
      </c>
      <c r="N25" s="278">
        <v>9868.1669999999995</v>
      </c>
      <c r="O25" s="278">
        <v>6.8889399999999998</v>
      </c>
      <c r="P25" s="278">
        <v>73.950820000000007</v>
      </c>
      <c r="Q25" s="278">
        <v>160.87863000000002</v>
      </c>
      <c r="R25" s="278">
        <v>0.12178</v>
      </c>
      <c r="S25" s="278">
        <v>1036.76909</v>
      </c>
      <c r="U25" s="278">
        <v>1258.83257</v>
      </c>
      <c r="V25" s="278">
        <v>0</v>
      </c>
      <c r="W25" s="278">
        <v>96.751469999999998</v>
      </c>
      <c r="X25" s="278">
        <v>-318.81495000000001</v>
      </c>
      <c r="Y25" s="278">
        <v>0</v>
      </c>
      <c r="Z25" s="278">
        <v>0</v>
      </c>
      <c r="AA25" s="278">
        <v>0</v>
      </c>
      <c r="AB25" s="278">
        <v>-318.81495000000001</v>
      </c>
      <c r="AD25" s="278">
        <v>1839.0967100000003</v>
      </c>
      <c r="AE25" s="157">
        <v>776.11536999999998</v>
      </c>
      <c r="AF25" s="184">
        <v>-163.90225000000001</v>
      </c>
      <c r="AG25" s="278">
        <v>-612.30210999999997</v>
      </c>
      <c r="AH25" s="278">
        <v>102.2042</v>
      </c>
      <c r="AI25" s="184">
        <v>52.4</v>
      </c>
      <c r="AJ25" s="278">
        <v>1586.28071</v>
      </c>
      <c r="AL25" s="278">
        <v>10853.821</v>
      </c>
      <c r="AM25" s="184">
        <v>52.783739999999995</v>
      </c>
      <c r="AN25" s="278">
        <v>-2802.7269999999999</v>
      </c>
      <c r="AO25" s="355">
        <v>2531</v>
      </c>
      <c r="AP25" s="344">
        <v>8.86</v>
      </c>
      <c r="AQ25" s="462"/>
      <c r="AS25" s="469">
        <v>1603.5978700000001</v>
      </c>
      <c r="AT25" s="278">
        <v>7775.89131</v>
      </c>
      <c r="AU25" s="464"/>
      <c r="AV25" s="346">
        <v>3808.4624900000003</v>
      </c>
      <c r="AW25" s="346">
        <v>1121.9194499999999</v>
      </c>
      <c r="AX25" s="346">
        <v>1473.9099699999999</v>
      </c>
      <c r="AY25" s="346">
        <v>6404.2919099999999</v>
      </c>
      <c r="AZ25" s="346">
        <v>696.66399999999999</v>
      </c>
      <c r="BA25" s="278">
        <v>19.232560000000003</v>
      </c>
      <c r="BB25" s="345">
        <v>218.03793999999999</v>
      </c>
      <c r="BC25" s="278">
        <v>60.512889999999999</v>
      </c>
      <c r="BD25" s="278">
        <v>0.37741000000000002</v>
      </c>
      <c r="BE25" s="346">
        <v>789.99257</v>
      </c>
      <c r="BG25" s="343">
        <v>728.82875999999999</v>
      </c>
      <c r="BH25" s="343">
        <v>0</v>
      </c>
      <c r="BI25" s="343">
        <v>745.64331000000004</v>
      </c>
      <c r="BJ25" s="346">
        <v>-684.47950000000003</v>
      </c>
      <c r="BK25" s="343">
        <v>0</v>
      </c>
      <c r="BL25" s="343">
        <v>0</v>
      </c>
      <c r="BM25" s="343">
        <v>0</v>
      </c>
      <c r="BN25" s="346">
        <v>-684.47950000000003</v>
      </c>
      <c r="BP25" s="346">
        <v>1154.6172099999999</v>
      </c>
      <c r="BQ25" s="318">
        <v>39.82499</v>
      </c>
      <c r="BR25" s="278">
        <v>-4.5242700000000005</v>
      </c>
      <c r="BS25" s="475">
        <v>-1645.5313899999999</v>
      </c>
      <c r="BT25" s="278">
        <v>3.7319999999999999E-2</v>
      </c>
      <c r="BU25" s="278">
        <v>738.06524000000002</v>
      </c>
      <c r="BV25" s="345">
        <v>165.45535999999998</v>
      </c>
      <c r="BX25" s="278">
        <v>10529.801039999998</v>
      </c>
      <c r="BY25" s="483">
        <v>0</v>
      </c>
      <c r="BZ25" s="483">
        <v>-324.01996000000003</v>
      </c>
      <c r="CA25" s="260"/>
      <c r="CB25" s="347">
        <v>8.9</v>
      </c>
      <c r="CC25" s="486">
        <f t="shared" si="0"/>
        <v>8.9</v>
      </c>
      <c r="CD25" s="287"/>
      <c r="CE25" s="278"/>
      <c r="CF25" s="268"/>
      <c r="CG25" s="266"/>
      <c r="CI25" s="158">
        <v>450</v>
      </c>
      <c r="CJ25" s="343">
        <v>-55.970763900079646</v>
      </c>
      <c r="CK25" s="343">
        <v>278.17782568787197</v>
      </c>
      <c r="CL25" s="343">
        <v>-67.239478047244688</v>
      </c>
      <c r="CM25" s="487">
        <v>-19.99990053043166</v>
      </c>
      <c r="CN25" s="487">
        <v>363.45276331702462</v>
      </c>
      <c r="CO25" s="495">
        <v>-753.08500000000004</v>
      </c>
      <c r="CP25" s="299"/>
      <c r="CQ25" s="489">
        <v>0</v>
      </c>
      <c r="CR25" s="489">
        <v>0</v>
      </c>
    </row>
    <row r="26" spans="1:96" x14ac:dyDescent="0.2">
      <c r="A26" s="154">
        <v>82</v>
      </c>
      <c r="B26" s="156" t="s">
        <v>60</v>
      </c>
      <c r="C26" s="337">
        <v>9359</v>
      </c>
      <c r="D26" s="276">
        <v>20.75</v>
      </c>
      <c r="E26" s="185"/>
      <c r="G26" s="278">
        <v>7376.6480599999995</v>
      </c>
      <c r="H26" s="278">
        <v>61571.279320000001</v>
      </c>
      <c r="I26" s="278"/>
      <c r="J26" s="278">
        <v>38245.794390000003</v>
      </c>
      <c r="K26" s="278">
        <v>2128.7132999999999</v>
      </c>
      <c r="L26" s="278">
        <v>2748.8787400000001</v>
      </c>
      <c r="M26" s="278">
        <v>43123.386429999999</v>
      </c>
      <c r="N26" s="278">
        <v>13903.883</v>
      </c>
      <c r="O26" s="278">
        <v>208.41535999999999</v>
      </c>
      <c r="P26" s="278">
        <v>160.71754999999999</v>
      </c>
      <c r="Q26" s="278">
        <v>48.738720000000001</v>
      </c>
      <c r="R26" s="278">
        <v>108.246</v>
      </c>
      <c r="S26" s="278">
        <v>2820.8287</v>
      </c>
      <c r="U26" s="278">
        <v>2037.9240400000001</v>
      </c>
      <c r="V26" s="278">
        <v>1095.7775300000001</v>
      </c>
      <c r="W26" s="278">
        <v>8.0645199999999999</v>
      </c>
      <c r="X26" s="278">
        <v>1870.6176699999999</v>
      </c>
      <c r="Y26" s="278">
        <v>0</v>
      </c>
      <c r="Z26" s="278">
        <v>0</v>
      </c>
      <c r="AA26" s="278">
        <v>0</v>
      </c>
      <c r="AB26" s="278">
        <v>1870.6176699999999</v>
      </c>
      <c r="AD26" s="278">
        <v>7955.4359599999998</v>
      </c>
      <c r="AE26" s="157">
        <v>2480.13742</v>
      </c>
      <c r="AF26" s="184">
        <v>-1428.4042899999999</v>
      </c>
      <c r="AG26" s="278">
        <v>-5905.9004000000004</v>
      </c>
      <c r="AH26" s="278">
        <v>42.5</v>
      </c>
      <c r="AI26" s="184">
        <v>2715.1928499999999</v>
      </c>
      <c r="AJ26" s="278">
        <v>958.20421999999996</v>
      </c>
      <c r="AL26" s="278">
        <v>32616.083439999999</v>
      </c>
      <c r="AM26" s="184">
        <v>0</v>
      </c>
      <c r="AN26" s="278">
        <v>534.12232999999992</v>
      </c>
      <c r="AO26" s="355">
        <v>9371</v>
      </c>
      <c r="AP26" s="344">
        <v>8.11</v>
      </c>
      <c r="AQ26" s="462"/>
      <c r="AS26" s="469">
        <v>4057.4534100000001</v>
      </c>
      <c r="AT26" s="278">
        <v>27941.55946</v>
      </c>
      <c r="AU26" s="464"/>
      <c r="AV26" s="346">
        <v>18771.23818</v>
      </c>
      <c r="AW26" s="346">
        <v>2650.3549400000002</v>
      </c>
      <c r="AX26" s="346">
        <v>2845.38004</v>
      </c>
      <c r="AY26" s="346">
        <v>24266.973160000001</v>
      </c>
      <c r="AZ26" s="346">
        <v>5532.6469999999999</v>
      </c>
      <c r="BA26" s="278">
        <v>187.86708999999999</v>
      </c>
      <c r="BB26" s="345">
        <v>927.49871999999993</v>
      </c>
      <c r="BC26" s="278">
        <v>205.62290999999999</v>
      </c>
      <c r="BD26" s="278">
        <v>89.295990000000003</v>
      </c>
      <c r="BE26" s="346">
        <v>5292.2094000000006</v>
      </c>
      <c r="BG26" s="343">
        <v>2168.77387</v>
      </c>
      <c r="BH26" s="343">
        <v>0</v>
      </c>
      <c r="BI26" s="343">
        <v>0</v>
      </c>
      <c r="BJ26" s="346">
        <v>3123.4355299999997</v>
      </c>
      <c r="BK26" s="343">
        <v>0</v>
      </c>
      <c r="BL26" s="343">
        <v>0</v>
      </c>
      <c r="BM26" s="343">
        <v>0</v>
      </c>
      <c r="BN26" s="346">
        <v>3123.4355299999997</v>
      </c>
      <c r="BP26" s="346">
        <v>11078.87149</v>
      </c>
      <c r="BQ26" s="318">
        <v>5237.4227300000002</v>
      </c>
      <c r="BR26" s="278">
        <v>-54.786670000000001</v>
      </c>
      <c r="BS26" s="475">
        <v>-641.69493999999997</v>
      </c>
      <c r="BT26" s="278">
        <v>55.9</v>
      </c>
      <c r="BU26" s="278">
        <v>191.8348</v>
      </c>
      <c r="BV26" s="345">
        <v>1833.5548700000002</v>
      </c>
      <c r="BX26" s="278">
        <v>29356.66332</v>
      </c>
      <c r="BY26" s="483">
        <v>0</v>
      </c>
      <c r="BZ26" s="483">
        <v>-3259.4201200000002</v>
      </c>
      <c r="CA26" s="260"/>
      <c r="CB26" s="347">
        <v>8.1</v>
      </c>
      <c r="CC26" s="486">
        <f t="shared" si="0"/>
        <v>8.1</v>
      </c>
      <c r="CD26" s="287"/>
      <c r="CE26" s="278"/>
      <c r="CF26" s="268"/>
      <c r="CI26" s="158">
        <v>0</v>
      </c>
      <c r="CJ26" s="343">
        <v>3913.1531695980038</v>
      </c>
      <c r="CK26" s="343">
        <v>2581.0004371499545</v>
      </c>
      <c r="CL26" s="343">
        <v>3025.6087325600465</v>
      </c>
      <c r="CM26" s="487">
        <v>3133.6144819260044</v>
      </c>
      <c r="CN26" s="487">
        <v>3692.8891651624117</v>
      </c>
      <c r="CO26" s="495">
        <v>-2075.085</v>
      </c>
      <c r="CP26" s="299"/>
      <c r="CQ26" s="489">
        <v>0</v>
      </c>
      <c r="CR26" s="489">
        <v>0</v>
      </c>
    </row>
    <row r="27" spans="1:96" x14ac:dyDescent="0.2">
      <c r="A27" s="154">
        <v>86</v>
      </c>
      <c r="B27" s="156" t="s">
        <v>61</v>
      </c>
      <c r="C27" s="337">
        <v>8031</v>
      </c>
      <c r="D27" s="276">
        <v>21.5</v>
      </c>
      <c r="E27" s="185"/>
      <c r="G27" s="278">
        <v>7743.0766700000004</v>
      </c>
      <c r="H27" s="278">
        <v>56930.981549999997</v>
      </c>
      <c r="I27" s="278"/>
      <c r="J27" s="278">
        <v>32316.940999999999</v>
      </c>
      <c r="K27" s="278">
        <v>1758.836</v>
      </c>
      <c r="L27" s="278">
        <v>1784.259</v>
      </c>
      <c r="M27" s="278">
        <v>35860.036</v>
      </c>
      <c r="N27" s="278">
        <v>16384.636999999999</v>
      </c>
      <c r="O27" s="278">
        <v>2.0639699999999999</v>
      </c>
      <c r="P27" s="278">
        <v>214.01539000000002</v>
      </c>
      <c r="Q27" s="278">
        <v>34.572749999999999</v>
      </c>
      <c r="R27" s="278">
        <v>6.0378400000000001</v>
      </c>
      <c r="S27" s="278">
        <v>2873.3516099999997</v>
      </c>
      <c r="U27" s="278">
        <v>2376.2761299999997</v>
      </c>
      <c r="V27" s="278">
        <v>0</v>
      </c>
      <c r="W27" s="278">
        <v>0</v>
      </c>
      <c r="X27" s="278">
        <v>497.07547999999997</v>
      </c>
      <c r="Y27" s="278">
        <v>0</v>
      </c>
      <c r="Z27" s="278">
        <v>0</v>
      </c>
      <c r="AA27" s="278">
        <v>0</v>
      </c>
      <c r="AB27" s="278">
        <v>497.07547999999997</v>
      </c>
      <c r="AD27" s="278">
        <v>10439.9609</v>
      </c>
      <c r="AE27" s="157">
        <v>2676.0626099999999</v>
      </c>
      <c r="AF27" s="184">
        <v>-240.67742999999999</v>
      </c>
      <c r="AG27" s="278">
        <v>-2854.3376000000003</v>
      </c>
      <c r="AH27" s="278">
        <v>179.79491000000002</v>
      </c>
      <c r="AI27" s="184">
        <v>256.56002999999998</v>
      </c>
      <c r="AJ27" s="278">
        <v>4074.7094099999999</v>
      </c>
      <c r="AL27" s="278">
        <v>23891.713810000001</v>
      </c>
      <c r="AM27" s="184">
        <v>13.6</v>
      </c>
      <c r="AN27" s="278">
        <v>-3637.2592400000003</v>
      </c>
      <c r="AO27" s="355">
        <v>7998</v>
      </c>
      <c r="AP27" s="344">
        <v>8.86</v>
      </c>
      <c r="AQ27" s="462"/>
      <c r="AS27" s="469">
        <v>5335.2179699999997</v>
      </c>
      <c r="AT27" s="278">
        <v>25548.68057</v>
      </c>
      <c r="AU27" s="464"/>
      <c r="AV27" s="346">
        <v>16142.992</v>
      </c>
      <c r="AW27" s="346">
        <v>1156.953</v>
      </c>
      <c r="AX27" s="346">
        <v>1781.6279999999999</v>
      </c>
      <c r="AY27" s="346">
        <v>19081.573</v>
      </c>
      <c r="AZ27" s="346">
        <v>6254.0709999999999</v>
      </c>
      <c r="BA27" s="278">
        <v>3.3694099999999998</v>
      </c>
      <c r="BB27" s="345">
        <v>417.47456</v>
      </c>
      <c r="BC27" s="278">
        <v>26.042939999999998</v>
      </c>
      <c r="BD27" s="278">
        <v>5.2243300000000001</v>
      </c>
      <c r="BE27" s="346">
        <v>4731.0281100000002</v>
      </c>
      <c r="BG27" s="343">
        <v>3588.7305499999998</v>
      </c>
      <c r="BH27" s="343">
        <v>0</v>
      </c>
      <c r="BI27" s="343">
        <v>556.81011000000001</v>
      </c>
      <c r="BJ27" s="346">
        <v>585.48744999999997</v>
      </c>
      <c r="BK27" s="343">
        <v>0</v>
      </c>
      <c r="BL27" s="343">
        <v>0</v>
      </c>
      <c r="BM27" s="343">
        <v>0</v>
      </c>
      <c r="BN27" s="346">
        <v>585.48744999999997</v>
      </c>
      <c r="BP27" s="346">
        <v>11025.448350000001</v>
      </c>
      <c r="BQ27" s="318">
        <v>4639.6498000000001</v>
      </c>
      <c r="BR27" s="278">
        <v>465.43180000000001</v>
      </c>
      <c r="BS27" s="475">
        <v>-5802.5866999999998</v>
      </c>
      <c r="BT27" s="278">
        <v>8.655899999999999</v>
      </c>
      <c r="BU27" s="278">
        <v>1103.2464</v>
      </c>
      <c r="BV27" s="345">
        <v>3841.0974999999999</v>
      </c>
      <c r="BX27" s="278">
        <v>25946.890570000003</v>
      </c>
      <c r="BY27" s="483">
        <v>13.6</v>
      </c>
      <c r="BZ27" s="483">
        <v>2055.1768000000002</v>
      </c>
      <c r="CA27" s="260"/>
      <c r="CB27" s="347">
        <v>8.9</v>
      </c>
      <c r="CC27" s="486">
        <f t="shared" si="0"/>
        <v>8.9</v>
      </c>
      <c r="CD27" s="287"/>
      <c r="CE27" s="278"/>
      <c r="CF27" s="268"/>
      <c r="CI27" s="158">
        <v>0</v>
      </c>
      <c r="CJ27" s="343">
        <v>4262.6356382997037</v>
      </c>
      <c r="CK27" s="343">
        <v>4713.4239742971658</v>
      </c>
      <c r="CL27" s="343">
        <v>4832.0925909743382</v>
      </c>
      <c r="CM27" s="487">
        <v>4940.3735140131867</v>
      </c>
      <c r="CN27" s="487">
        <v>5488.8841798234644</v>
      </c>
      <c r="CO27" s="495">
        <v>-1247.3679999999999</v>
      </c>
      <c r="CP27" s="299"/>
      <c r="CQ27" s="489">
        <v>0</v>
      </c>
      <c r="CR27" s="489">
        <v>2.1332499999999999</v>
      </c>
    </row>
    <row r="28" spans="1:96" x14ac:dyDescent="0.2">
      <c r="A28" s="154">
        <v>111</v>
      </c>
      <c r="B28" s="268" t="s">
        <v>62</v>
      </c>
      <c r="C28" s="337">
        <v>18131</v>
      </c>
      <c r="D28" s="276">
        <v>20.5</v>
      </c>
      <c r="E28" s="185"/>
      <c r="G28" s="278">
        <v>23862.397350000003</v>
      </c>
      <c r="H28" s="278">
        <v>143979.19919999997</v>
      </c>
      <c r="I28" s="278"/>
      <c r="J28" s="278">
        <v>64909.042529999999</v>
      </c>
      <c r="K28" s="278">
        <v>5010.3207599999996</v>
      </c>
      <c r="L28" s="278">
        <v>6451.9160700000002</v>
      </c>
      <c r="M28" s="278">
        <v>76371.27936</v>
      </c>
      <c r="N28" s="278">
        <v>53805.487000000001</v>
      </c>
      <c r="O28" s="278">
        <v>69.387839999999997</v>
      </c>
      <c r="P28" s="278">
        <v>579.91402000000005</v>
      </c>
      <c r="Q28" s="278">
        <v>6825.94139</v>
      </c>
      <c r="R28" s="278">
        <v>8976.20118</v>
      </c>
      <c r="S28" s="278">
        <v>9057.6666700000005</v>
      </c>
      <c r="U28" s="278">
        <v>8996.9221099999995</v>
      </c>
      <c r="V28" s="278">
        <v>0</v>
      </c>
      <c r="W28" s="278">
        <v>0</v>
      </c>
      <c r="X28" s="278">
        <v>60.74456</v>
      </c>
      <c r="Y28" s="278">
        <v>18679.83538</v>
      </c>
      <c r="Z28" s="278">
        <v>-18690</v>
      </c>
      <c r="AA28" s="278">
        <v>21.165330000000001</v>
      </c>
      <c r="AB28" s="278">
        <v>49.743850000000002</v>
      </c>
      <c r="AD28" s="278">
        <v>34208.085350000001</v>
      </c>
      <c r="AE28" s="157">
        <v>7940.4902199999997</v>
      </c>
      <c r="AF28" s="184">
        <v>-1117.1764499999999</v>
      </c>
      <c r="AG28" s="278">
        <v>-25399.232789999998</v>
      </c>
      <c r="AH28" s="278">
        <v>1713.0915</v>
      </c>
      <c r="AI28" s="184">
        <v>8866.7407300000013</v>
      </c>
      <c r="AJ28" s="278">
        <v>106636.57803</v>
      </c>
      <c r="AL28" s="278">
        <v>118034.70741</v>
      </c>
      <c r="AM28" s="184">
        <v>44.642859999999999</v>
      </c>
      <c r="AN28" s="278">
        <v>9726.7074100000009</v>
      </c>
      <c r="AO28" s="355">
        <v>17953</v>
      </c>
      <c r="AP28" s="344">
        <v>7.86</v>
      </c>
      <c r="AQ28" s="462"/>
      <c r="AS28" s="469">
        <v>14236.606970000001</v>
      </c>
      <c r="AT28" s="278">
        <v>57150.608829999997</v>
      </c>
      <c r="AU28" s="464"/>
      <c r="AV28" s="346">
        <v>30783.26728</v>
      </c>
      <c r="AW28" s="346">
        <v>3379.1790299999998</v>
      </c>
      <c r="AX28" s="346">
        <v>6698.3941699999996</v>
      </c>
      <c r="AY28" s="346">
        <v>40860.840479999999</v>
      </c>
      <c r="AZ28" s="346">
        <v>11921.143</v>
      </c>
      <c r="BA28" s="278">
        <v>304.21933000000001</v>
      </c>
      <c r="BB28" s="345">
        <v>1760.9554800000001</v>
      </c>
      <c r="BC28" s="278">
        <v>7760.4870700000001</v>
      </c>
      <c r="BD28" s="278">
        <v>3090.0286700000001</v>
      </c>
      <c r="BE28" s="346">
        <v>14302.610119999999</v>
      </c>
      <c r="BG28" s="343">
        <v>10499.01643</v>
      </c>
      <c r="BH28" s="343">
        <v>0</v>
      </c>
      <c r="BI28" s="343">
        <v>0</v>
      </c>
      <c r="BJ28" s="346">
        <v>3803.5936900000002</v>
      </c>
      <c r="BK28" s="346">
        <v>-489.33625000000001</v>
      </c>
      <c r="BL28" s="346">
        <v>4000</v>
      </c>
      <c r="BM28" s="343">
        <v>11.54002</v>
      </c>
      <c r="BN28" s="346">
        <v>281.38991999999996</v>
      </c>
      <c r="BP28" s="346">
        <v>34634.083270000003</v>
      </c>
      <c r="BQ28" s="318">
        <v>13345.913259999999</v>
      </c>
      <c r="BR28" s="278">
        <v>-956.69686000000002</v>
      </c>
      <c r="BS28" s="475">
        <v>-13135.3429</v>
      </c>
      <c r="BT28" s="278">
        <v>343.43628000000001</v>
      </c>
      <c r="BU28" s="278">
        <v>5988.4694</v>
      </c>
      <c r="BV28" s="345">
        <v>105913.58895</v>
      </c>
      <c r="BX28" s="278">
        <v>113053</v>
      </c>
      <c r="BY28" s="483">
        <v>65.901809999999998</v>
      </c>
      <c r="BZ28" s="483">
        <v>-4981.70741</v>
      </c>
      <c r="CA28" s="260"/>
      <c r="CB28" s="347">
        <v>8.1999999999999993</v>
      </c>
      <c r="CC28" s="486">
        <f t="shared" si="0"/>
        <v>8.1999999999999993</v>
      </c>
      <c r="CD28" s="287"/>
      <c r="CE28" s="278"/>
      <c r="CF28" s="268"/>
      <c r="CG28" s="266"/>
      <c r="CI28" s="158">
        <v>0</v>
      </c>
      <c r="CJ28" s="343">
        <v>9277.1452894049726</v>
      </c>
      <c r="CK28" s="343">
        <v>10009.046606544554</v>
      </c>
      <c r="CL28" s="343">
        <v>8260.752470251864</v>
      </c>
      <c r="CM28" s="487">
        <v>7477.3151435178179</v>
      </c>
      <c r="CN28" s="487">
        <v>9270.8954643162724</v>
      </c>
      <c r="CO28" s="495">
        <v>-2654.5230000000001</v>
      </c>
      <c r="CP28" s="299"/>
      <c r="CQ28" s="489">
        <v>1658.48813</v>
      </c>
      <c r="CR28" s="489">
        <v>1220.90625</v>
      </c>
    </row>
    <row r="29" spans="1:96" x14ac:dyDescent="0.2">
      <c r="A29" s="154">
        <v>90</v>
      </c>
      <c r="B29" s="156" t="s">
        <v>63</v>
      </c>
      <c r="C29" s="337">
        <v>3061</v>
      </c>
      <c r="D29" s="276">
        <v>21.5</v>
      </c>
      <c r="E29" s="185"/>
      <c r="G29" s="278">
        <v>4766.95262</v>
      </c>
      <c r="H29" s="278">
        <v>31128.494070000001</v>
      </c>
      <c r="I29" s="278"/>
      <c r="J29" s="278">
        <v>9403.1914499999984</v>
      </c>
      <c r="K29" s="278">
        <v>3251.2922999999996</v>
      </c>
      <c r="L29" s="278">
        <v>1427.6197999999999</v>
      </c>
      <c r="M29" s="278">
        <v>14082.103550000002</v>
      </c>
      <c r="N29" s="278">
        <v>13394.793</v>
      </c>
      <c r="O29" s="278">
        <v>49.483139999999999</v>
      </c>
      <c r="P29" s="278">
        <v>33.010150000000003</v>
      </c>
      <c r="Q29" s="278">
        <v>318.89967999999999</v>
      </c>
      <c r="R29" s="278">
        <v>11.417020000000001</v>
      </c>
      <c r="S29" s="278">
        <v>1439.3107500000001</v>
      </c>
      <c r="U29" s="278">
        <v>1320.3333400000001</v>
      </c>
      <c r="V29" s="278">
        <v>0</v>
      </c>
      <c r="W29" s="278">
        <v>0</v>
      </c>
      <c r="X29" s="278">
        <v>118.97741000000001</v>
      </c>
      <c r="Y29" s="278">
        <v>-75</v>
      </c>
      <c r="Z29" s="278">
        <v>0</v>
      </c>
      <c r="AA29" s="278">
        <v>0</v>
      </c>
      <c r="AB29" s="278">
        <v>193.97740999999999</v>
      </c>
      <c r="AD29" s="278">
        <v>5040.8894400000008</v>
      </c>
      <c r="AE29" s="157">
        <v>1487.11592</v>
      </c>
      <c r="AF29" s="184">
        <v>48.805169999999997</v>
      </c>
      <c r="AG29" s="278">
        <v>-1072.8008400000001</v>
      </c>
      <c r="AH29" s="278">
        <v>205</v>
      </c>
      <c r="AI29" s="184">
        <v>387.56620000000004</v>
      </c>
      <c r="AJ29" s="278">
        <v>3465.9079300000008</v>
      </c>
      <c r="AL29" s="278">
        <v>8930.8940000000002</v>
      </c>
      <c r="AM29" s="184">
        <v>7</v>
      </c>
      <c r="AN29" s="278">
        <v>-2813.4140000000002</v>
      </c>
      <c r="AO29" s="355">
        <v>3001</v>
      </c>
      <c r="AP29" s="344">
        <v>8.86</v>
      </c>
      <c r="AQ29" s="462"/>
      <c r="AS29" s="469">
        <v>4646.1567599999998</v>
      </c>
      <c r="AT29" s="278">
        <v>11495.24806</v>
      </c>
      <c r="AU29" s="464"/>
      <c r="AV29" s="346">
        <v>4465.6764400000002</v>
      </c>
      <c r="AW29" s="346">
        <v>1796.9085600000001</v>
      </c>
      <c r="AX29" s="346">
        <v>1469.4405300000001</v>
      </c>
      <c r="AY29" s="346">
        <v>7732.0255299999999</v>
      </c>
      <c r="AZ29" s="346">
        <v>653.779</v>
      </c>
      <c r="BA29" s="278">
        <v>70.272809999999993</v>
      </c>
      <c r="BB29" s="345">
        <v>32.21481</v>
      </c>
      <c r="BC29" s="278">
        <v>318.49862000000002</v>
      </c>
      <c r="BD29" s="278">
        <v>2.2792500000000002</v>
      </c>
      <c r="BE29" s="346">
        <v>1890.9906000000001</v>
      </c>
      <c r="BG29" s="343">
        <v>1333.49767</v>
      </c>
      <c r="BH29" s="343">
        <v>0</v>
      </c>
      <c r="BI29" s="343">
        <v>0</v>
      </c>
      <c r="BJ29" s="346">
        <v>557.49293</v>
      </c>
      <c r="BK29" s="346">
        <v>-75</v>
      </c>
      <c r="BL29" s="343">
        <v>0</v>
      </c>
      <c r="BM29" s="343">
        <v>0</v>
      </c>
      <c r="BN29" s="346">
        <v>632.49293</v>
      </c>
      <c r="BP29" s="346">
        <v>5673.3823700000012</v>
      </c>
      <c r="BQ29" s="318">
        <v>1771.3377700000001</v>
      </c>
      <c r="BR29" s="278">
        <v>-119.65283000000001</v>
      </c>
      <c r="BS29" s="475">
        <v>-993.84573</v>
      </c>
      <c r="BT29" s="278">
        <v>145</v>
      </c>
      <c r="BU29" s="278">
        <v>112.84953</v>
      </c>
      <c r="BV29" s="345">
        <v>3380.9147799999996</v>
      </c>
      <c r="BX29" s="278">
        <v>8909.35</v>
      </c>
      <c r="BY29" s="483">
        <v>3.68</v>
      </c>
      <c r="BZ29" s="483">
        <v>-21.544</v>
      </c>
      <c r="CA29" s="260"/>
      <c r="CB29" s="347">
        <v>8.8000000000000007</v>
      </c>
      <c r="CC29" s="486">
        <f t="shared" si="0"/>
        <v>8.8000000000000007</v>
      </c>
      <c r="CD29" s="287"/>
      <c r="CE29" s="278"/>
      <c r="CF29" s="268"/>
      <c r="CI29" s="158">
        <v>0</v>
      </c>
      <c r="CJ29" s="343">
        <v>119.72011303112106</v>
      </c>
      <c r="CK29" s="343">
        <v>782.15427660005571</v>
      </c>
      <c r="CL29" s="343">
        <v>1022.794704291045</v>
      </c>
      <c r="CM29" s="487">
        <v>944.29026149456467</v>
      </c>
      <c r="CN29" s="487">
        <v>1402.0006416979375</v>
      </c>
      <c r="CO29" s="495">
        <v>-415.25900000000001</v>
      </c>
      <c r="CP29" s="299"/>
      <c r="CQ29" s="489">
        <v>0</v>
      </c>
      <c r="CR29" s="489">
        <v>0</v>
      </c>
    </row>
    <row r="30" spans="1:96" x14ac:dyDescent="0.2">
      <c r="A30" s="154">
        <v>91</v>
      </c>
      <c r="B30" s="156" t="s">
        <v>64</v>
      </c>
      <c r="C30" s="337">
        <v>664028</v>
      </c>
      <c r="D30" s="276">
        <v>18</v>
      </c>
      <c r="E30" s="185"/>
      <c r="G30" s="278">
        <v>1164675.9517000001</v>
      </c>
      <c r="H30" s="278">
        <v>5126058.41249</v>
      </c>
      <c r="I30" s="278"/>
      <c r="J30" s="278">
        <v>3028509.0804400002</v>
      </c>
      <c r="K30" s="278">
        <v>775361.18536999996</v>
      </c>
      <c r="L30" s="278">
        <v>295946.53457000002</v>
      </c>
      <c r="M30" s="278">
        <v>4099816.8503800002</v>
      </c>
      <c r="N30" s="278">
        <v>377642.70199999999</v>
      </c>
      <c r="O30" s="278">
        <v>73659.035780000006</v>
      </c>
      <c r="P30" s="278">
        <v>15336.467070000001</v>
      </c>
      <c r="Q30" s="278">
        <v>39393.093219999995</v>
      </c>
      <c r="R30" s="278">
        <v>575.67948999999999</v>
      </c>
      <c r="S30" s="278">
        <v>732815.35005000001</v>
      </c>
      <c r="U30" s="278">
        <v>386961.68360000005</v>
      </c>
      <c r="V30" s="278">
        <v>1098.21549</v>
      </c>
      <c r="W30" s="278">
        <v>0</v>
      </c>
      <c r="X30" s="278">
        <v>346951.88193999999</v>
      </c>
      <c r="Y30" s="278">
        <v>-15006.524160000001</v>
      </c>
      <c r="Z30" s="278">
        <v>-1616.7774299999999</v>
      </c>
      <c r="AA30" s="278">
        <v>-645.73487</v>
      </c>
      <c r="AB30" s="278">
        <v>364220.91839999997</v>
      </c>
      <c r="AD30" s="278">
        <v>7214592.0787899997</v>
      </c>
      <c r="AE30" s="157">
        <v>653098.63921000005</v>
      </c>
      <c r="AF30" s="184">
        <v>-80814.926330000002</v>
      </c>
      <c r="AG30" s="278">
        <v>-1032173.20592</v>
      </c>
      <c r="AH30" s="278">
        <v>8124.9626100000005</v>
      </c>
      <c r="AI30" s="184">
        <v>855630.64061999996</v>
      </c>
      <c r="AJ30" s="278">
        <v>1405574.64729</v>
      </c>
      <c r="AL30" s="278">
        <v>951181.06888000015</v>
      </c>
      <c r="AM30" s="184">
        <v>-437674.66485</v>
      </c>
      <c r="AN30" s="278">
        <v>38078.117270000002</v>
      </c>
      <c r="AO30" s="355">
        <v>674500</v>
      </c>
      <c r="AP30" s="344">
        <v>5.36</v>
      </c>
      <c r="AQ30" s="462"/>
      <c r="AS30" s="469">
        <v>1184787.9557</v>
      </c>
      <c r="AT30" s="278">
        <v>2894434.6320500001</v>
      </c>
      <c r="AU30" s="464"/>
      <c r="AV30" s="346">
        <v>1191880.6545299999</v>
      </c>
      <c r="AW30" s="346">
        <v>539208.23645000008</v>
      </c>
      <c r="AX30" s="346">
        <v>307241.29567999998</v>
      </c>
      <c r="AY30" s="346">
        <v>2038330.1866600001</v>
      </c>
      <c r="AZ30" s="346">
        <v>200210.427</v>
      </c>
      <c r="BA30" s="278">
        <v>115630.75631999999</v>
      </c>
      <c r="BB30" s="345">
        <v>36565.36075</v>
      </c>
      <c r="BC30" s="278">
        <v>82684.970159999997</v>
      </c>
      <c r="BD30" s="278">
        <v>386.75428000000005</v>
      </c>
      <c r="BE30" s="346">
        <v>814594.37778999994</v>
      </c>
      <c r="BG30" s="343">
        <v>364862.70677999995</v>
      </c>
      <c r="BH30" s="346">
        <v>0</v>
      </c>
      <c r="BI30" s="346">
        <v>12983.223189999999</v>
      </c>
      <c r="BJ30" s="346">
        <v>436748.44782</v>
      </c>
      <c r="BK30" s="346">
        <v>413.99478999999997</v>
      </c>
      <c r="BL30" s="346">
        <v>-3579.9340999999999</v>
      </c>
      <c r="BM30" s="346">
        <v>1695.0572</v>
      </c>
      <c r="BN30" s="346">
        <v>438219.32993000001</v>
      </c>
      <c r="BP30" s="346">
        <v>7704176.7746199993</v>
      </c>
      <c r="BQ30" s="318">
        <v>783347.43741999997</v>
      </c>
      <c r="BR30" s="278">
        <v>-18263.71718</v>
      </c>
      <c r="BS30" s="475">
        <v>-849176.11884000001</v>
      </c>
      <c r="BT30" s="278">
        <v>23433.963649999998</v>
      </c>
      <c r="BU30" s="278">
        <v>65573.753429999997</v>
      </c>
      <c r="BV30" s="345">
        <v>1138526.38491</v>
      </c>
      <c r="BX30" s="278">
        <v>1059756.4996100001</v>
      </c>
      <c r="BY30" s="483">
        <v>55155.199430000001</v>
      </c>
      <c r="BZ30" s="483">
        <v>-105039.80821999999</v>
      </c>
      <c r="CA30" s="260"/>
      <c r="CB30" s="347">
        <v>5.3</v>
      </c>
      <c r="CC30" s="486">
        <f t="shared" si="0"/>
        <v>5.3</v>
      </c>
      <c r="CD30" s="287"/>
      <c r="CE30" s="278"/>
      <c r="CF30" s="268"/>
      <c r="CI30" s="158">
        <v>0</v>
      </c>
      <c r="CJ30" s="343">
        <v>298974.10752274183</v>
      </c>
      <c r="CK30" s="343">
        <v>401564.69745037437</v>
      </c>
      <c r="CL30" s="343">
        <v>441644.39361123554</v>
      </c>
      <c r="CM30" s="487">
        <v>474933.20355757448</v>
      </c>
      <c r="CN30" s="487">
        <v>510736.25890153361</v>
      </c>
      <c r="CO30" s="495">
        <v>40034.726999999999</v>
      </c>
      <c r="CP30" s="299"/>
      <c r="CQ30" s="489">
        <v>119598.27601999999</v>
      </c>
      <c r="CR30" s="489">
        <v>124336.82903000001</v>
      </c>
    </row>
    <row r="31" spans="1:96" x14ac:dyDescent="0.2">
      <c r="A31" s="154">
        <v>97</v>
      </c>
      <c r="B31" s="156" t="s">
        <v>65</v>
      </c>
      <c r="C31" s="337">
        <v>2091</v>
      </c>
      <c r="D31" s="276">
        <v>20</v>
      </c>
      <c r="E31" s="185"/>
      <c r="G31" s="278">
        <v>2976.65398</v>
      </c>
      <c r="H31" s="278">
        <v>18953.390429999999</v>
      </c>
      <c r="I31" s="278"/>
      <c r="J31" s="278">
        <v>6072.1978499999996</v>
      </c>
      <c r="K31" s="278">
        <v>1347.2734599999999</v>
      </c>
      <c r="L31" s="278">
        <v>1414.05297</v>
      </c>
      <c r="M31" s="278">
        <v>8833.5242799999996</v>
      </c>
      <c r="N31" s="278">
        <v>7419.9059999999999</v>
      </c>
      <c r="O31" s="278">
        <v>0</v>
      </c>
      <c r="P31" s="278">
        <v>0</v>
      </c>
      <c r="Q31" s="278">
        <v>381.3854</v>
      </c>
      <c r="R31" s="278">
        <v>1.2678499999999999</v>
      </c>
      <c r="S31" s="278">
        <v>656.81137999999999</v>
      </c>
      <c r="U31" s="278">
        <v>604.73043999999993</v>
      </c>
      <c r="V31" s="278">
        <v>0</v>
      </c>
      <c r="W31" s="278">
        <v>0</v>
      </c>
      <c r="X31" s="278">
        <v>52.080940000000005</v>
      </c>
      <c r="Y31" s="278">
        <v>0</v>
      </c>
      <c r="Z31" s="278">
        <v>0</v>
      </c>
      <c r="AA31" s="278">
        <v>0</v>
      </c>
      <c r="AB31" s="278">
        <v>52.080940000000005</v>
      </c>
      <c r="AD31" s="278">
        <v>7104.6207300000005</v>
      </c>
      <c r="AE31" s="157">
        <v>1663.55393</v>
      </c>
      <c r="AF31" s="184">
        <v>1006.7425500000001</v>
      </c>
      <c r="AG31" s="278">
        <v>-572.43305000000009</v>
      </c>
      <c r="AH31" s="278">
        <v>93.7</v>
      </c>
      <c r="AI31" s="184">
        <v>140.14243999999999</v>
      </c>
      <c r="AJ31" s="278">
        <v>11811.458929999999</v>
      </c>
      <c r="AL31" s="278">
        <v>0</v>
      </c>
      <c r="AM31" s="184">
        <v>0</v>
      </c>
      <c r="AN31" s="278">
        <v>0</v>
      </c>
      <c r="AO31" s="355">
        <v>2062</v>
      </c>
      <c r="AP31" s="344">
        <v>7.3599999999999994</v>
      </c>
      <c r="AQ31" s="462"/>
      <c r="AS31" s="469">
        <v>2229.7958399999998</v>
      </c>
      <c r="AT31" s="278">
        <v>6777.35707</v>
      </c>
      <c r="AU31" s="464"/>
      <c r="AV31" s="346">
        <v>3313.09202</v>
      </c>
      <c r="AW31" s="346">
        <v>777.07663000000002</v>
      </c>
      <c r="AX31" s="346">
        <v>1450.5595800000001</v>
      </c>
      <c r="AY31" s="346">
        <v>5540.7282300000006</v>
      </c>
      <c r="AZ31" s="346">
        <v>367.46600000000001</v>
      </c>
      <c r="BA31" s="278">
        <v>0.18153</v>
      </c>
      <c r="BB31" s="345">
        <v>0</v>
      </c>
      <c r="BC31" s="278">
        <v>394.29265999999996</v>
      </c>
      <c r="BD31" s="278">
        <v>99.358460000000008</v>
      </c>
      <c r="BE31" s="346">
        <v>1655.74873</v>
      </c>
      <c r="BG31" s="343">
        <v>528.82456999999999</v>
      </c>
      <c r="BH31" s="343">
        <v>0</v>
      </c>
      <c r="BI31" s="343">
        <v>0</v>
      </c>
      <c r="BJ31" s="346">
        <v>1126.92416</v>
      </c>
      <c r="BK31" s="343">
        <v>0</v>
      </c>
      <c r="BL31" s="346">
        <v>0</v>
      </c>
      <c r="BM31" s="343">
        <v>0</v>
      </c>
      <c r="BN31" s="346">
        <v>1126.92416</v>
      </c>
      <c r="BP31" s="346">
        <v>8231.544890000001</v>
      </c>
      <c r="BQ31" s="318">
        <v>624.70978000000002</v>
      </c>
      <c r="BR31" s="278">
        <v>-1031.0389499999999</v>
      </c>
      <c r="BS31" s="475">
        <v>-398.49655999999999</v>
      </c>
      <c r="BT31" s="278">
        <v>68.358199999999997</v>
      </c>
      <c r="BU31" s="278">
        <v>55.683860000000003</v>
      </c>
      <c r="BV31" s="345">
        <v>11617.184650000001</v>
      </c>
      <c r="BX31" s="278">
        <v>0</v>
      </c>
      <c r="BY31" s="483">
        <v>0</v>
      </c>
      <c r="BZ31" s="483">
        <v>0</v>
      </c>
      <c r="CA31" s="260"/>
      <c r="CB31" s="347">
        <v>7.4000000000000012</v>
      </c>
      <c r="CC31" s="486">
        <f t="shared" si="0"/>
        <v>7.4000000000000012</v>
      </c>
      <c r="CD31" s="287"/>
      <c r="CE31" s="278"/>
      <c r="CF31" s="268"/>
      <c r="CI31" s="158">
        <v>0</v>
      </c>
      <c r="CJ31" s="343">
        <v>57.007495575821281</v>
      </c>
      <c r="CK31" s="343">
        <v>206.21664372081568</v>
      </c>
      <c r="CL31" s="343">
        <v>411.28690920305655</v>
      </c>
      <c r="CM31" s="487">
        <v>355.55423348384113</v>
      </c>
      <c r="CN31" s="487">
        <v>575.93179366758079</v>
      </c>
      <c r="CO31" s="495">
        <v>-603.20600000000002</v>
      </c>
      <c r="CP31" s="299"/>
      <c r="CQ31" s="489">
        <v>0</v>
      </c>
      <c r="CR31" s="489">
        <v>0</v>
      </c>
    </row>
    <row r="32" spans="1:96" x14ac:dyDescent="0.2">
      <c r="A32" s="154">
        <v>98</v>
      </c>
      <c r="B32" s="156" t="s">
        <v>66</v>
      </c>
      <c r="C32" s="337">
        <v>22943</v>
      </c>
      <c r="D32" s="276">
        <v>21</v>
      </c>
      <c r="E32" s="185"/>
      <c r="G32" s="278">
        <v>15474.698560000001</v>
      </c>
      <c r="H32" s="278">
        <v>149111.56993999999</v>
      </c>
      <c r="I32" s="278"/>
      <c r="J32" s="278">
        <v>91985.325830000002</v>
      </c>
      <c r="K32" s="278">
        <v>5513.7155999999995</v>
      </c>
      <c r="L32" s="278">
        <v>6083.6689500000002</v>
      </c>
      <c r="M32" s="278">
        <v>103582.71037999999</v>
      </c>
      <c r="N32" s="278">
        <v>47780.77</v>
      </c>
      <c r="O32" s="278">
        <v>4.2993000000000006</v>
      </c>
      <c r="P32" s="278">
        <v>257.70263</v>
      </c>
      <c r="Q32" s="278">
        <v>726.35179000000005</v>
      </c>
      <c r="R32" s="278">
        <v>9.1747900000000016</v>
      </c>
      <c r="S32" s="278">
        <v>18263.725180000001</v>
      </c>
      <c r="U32" s="278">
        <v>10620.101640000001</v>
      </c>
      <c r="V32" s="278">
        <v>0</v>
      </c>
      <c r="W32" s="278">
        <v>0</v>
      </c>
      <c r="X32" s="278">
        <v>7643.6235399999996</v>
      </c>
      <c r="Y32" s="278">
        <v>-254.63103000000001</v>
      </c>
      <c r="Z32" s="278">
        <v>7600</v>
      </c>
      <c r="AA32" s="278">
        <v>0</v>
      </c>
      <c r="AB32" s="278">
        <v>298.25457</v>
      </c>
      <c r="AD32" s="278">
        <v>25099.79909</v>
      </c>
      <c r="AE32" s="157">
        <v>17879.064340000001</v>
      </c>
      <c r="AF32" s="184">
        <v>-384.66084000000001</v>
      </c>
      <c r="AG32" s="278">
        <v>-14269.385689999999</v>
      </c>
      <c r="AH32" s="278">
        <v>290</v>
      </c>
      <c r="AI32" s="184">
        <v>506.14600000000002</v>
      </c>
      <c r="AJ32" s="278">
        <v>14779.61686</v>
      </c>
      <c r="AL32" s="278">
        <v>29559.214959999998</v>
      </c>
      <c r="AM32" s="184">
        <v>68.793859999999995</v>
      </c>
      <c r="AN32" s="278">
        <v>-7777.5433400000002</v>
      </c>
      <c r="AO32" s="355">
        <v>22885</v>
      </c>
      <c r="AP32" s="344">
        <v>8.3599999999999977</v>
      </c>
      <c r="AQ32" s="462"/>
      <c r="AS32" s="469">
        <v>17682.264640000001</v>
      </c>
      <c r="AT32" s="278">
        <v>74015.332330000005</v>
      </c>
      <c r="AU32" s="464"/>
      <c r="AV32" s="346">
        <v>46408.436710000002</v>
      </c>
      <c r="AW32" s="346">
        <v>3512.0096100000001</v>
      </c>
      <c r="AX32" s="346">
        <v>6168.0065100000002</v>
      </c>
      <c r="AY32" s="346">
        <v>56088.452829999995</v>
      </c>
      <c r="AZ32" s="346">
        <v>20758.271000000001</v>
      </c>
      <c r="BA32" s="278">
        <v>12.524809999999999</v>
      </c>
      <c r="BB32" s="345">
        <v>250.83015</v>
      </c>
      <c r="BC32" s="278">
        <v>461.70512000000002</v>
      </c>
      <c r="BD32" s="278">
        <v>6.0979200000000002</v>
      </c>
      <c r="BE32" s="346">
        <v>20791.81234</v>
      </c>
      <c r="BG32" s="343">
        <v>10132.03177</v>
      </c>
      <c r="BH32" s="343">
        <v>0</v>
      </c>
      <c r="BI32" s="343">
        <v>0</v>
      </c>
      <c r="BJ32" s="346">
        <v>10659.780570000001</v>
      </c>
      <c r="BK32" s="346">
        <v>-249.99995999999999</v>
      </c>
      <c r="BL32" s="343">
        <v>10600</v>
      </c>
      <c r="BM32" s="343">
        <v>0</v>
      </c>
      <c r="BN32" s="346">
        <v>309.78053000000006</v>
      </c>
      <c r="BP32" s="346">
        <v>25476.394479999999</v>
      </c>
      <c r="BQ32" s="318">
        <v>20162.129920000003</v>
      </c>
      <c r="BR32" s="278">
        <v>-629.68242000000009</v>
      </c>
      <c r="BS32" s="475">
        <v>-8174.69067</v>
      </c>
      <c r="BT32" s="278">
        <v>0.75</v>
      </c>
      <c r="BU32" s="278">
        <v>6175.01674</v>
      </c>
      <c r="BV32" s="345">
        <v>28685.143379999998</v>
      </c>
      <c r="BX32" s="278">
        <v>23866.666620000004</v>
      </c>
      <c r="BY32" s="483">
        <v>64.781350000000003</v>
      </c>
      <c r="BZ32" s="483">
        <v>-5692.5483400000003</v>
      </c>
      <c r="CA32" s="260"/>
      <c r="CB32" s="347">
        <v>8.3000000000000007</v>
      </c>
      <c r="CC32" s="486">
        <f t="shared" si="0"/>
        <v>8.3000000000000007</v>
      </c>
      <c r="CD32" s="287"/>
      <c r="CE32" s="278"/>
      <c r="CF32" s="268"/>
      <c r="CI32" s="158">
        <v>0</v>
      </c>
      <c r="CJ32" s="343">
        <v>17377.415259846195</v>
      </c>
      <c r="CK32" s="343">
        <v>18460.499227901193</v>
      </c>
      <c r="CL32" s="343">
        <v>18257.894448117622</v>
      </c>
      <c r="CM32" s="487">
        <v>18170.080816205038</v>
      </c>
      <c r="CN32" s="487">
        <v>19903.879192476466</v>
      </c>
      <c r="CO32" s="495">
        <v>-5396.7049999999999</v>
      </c>
      <c r="CP32" s="299"/>
      <c r="CQ32" s="489">
        <v>73.34250999999999</v>
      </c>
      <c r="CR32" s="489">
        <v>60.854339999999993</v>
      </c>
    </row>
    <row r="33" spans="1:96" x14ac:dyDescent="0.2">
      <c r="A33" s="154">
        <v>102</v>
      </c>
      <c r="B33" s="156" t="s">
        <v>67</v>
      </c>
      <c r="C33" s="337">
        <v>9745</v>
      </c>
      <c r="D33" s="276">
        <v>21</v>
      </c>
      <c r="E33" s="185"/>
      <c r="G33" s="278">
        <v>11494.82963</v>
      </c>
      <c r="H33" s="278">
        <v>76589.301879999999</v>
      </c>
      <c r="I33" s="278"/>
      <c r="J33" s="278">
        <v>31177.857019999999</v>
      </c>
      <c r="K33" s="278">
        <v>3722.7407400000002</v>
      </c>
      <c r="L33" s="278">
        <v>2901.5637999999999</v>
      </c>
      <c r="M33" s="278">
        <v>37802.16156</v>
      </c>
      <c r="N33" s="278">
        <v>29711.156999999999</v>
      </c>
      <c r="O33" s="278">
        <v>7.1800000000000003E-2</v>
      </c>
      <c r="P33" s="278">
        <v>130.24011999999999</v>
      </c>
      <c r="Q33" s="278">
        <v>142.43563</v>
      </c>
      <c r="R33" s="278">
        <v>3.3372299999999999</v>
      </c>
      <c r="S33" s="278">
        <v>2427.77639</v>
      </c>
      <c r="U33" s="278">
        <v>3632.1778999999997</v>
      </c>
      <c r="V33" s="278">
        <v>4115.9060399999998</v>
      </c>
      <c r="W33" s="278">
        <v>0</v>
      </c>
      <c r="X33" s="278">
        <v>2911.5045299999997</v>
      </c>
      <c r="Y33" s="278">
        <v>-13.043839999999999</v>
      </c>
      <c r="Z33" s="278">
        <v>0</v>
      </c>
      <c r="AA33" s="278">
        <v>0</v>
      </c>
      <c r="AB33" s="278">
        <v>2924.54837</v>
      </c>
      <c r="AD33" s="278">
        <v>9340.4482100000005</v>
      </c>
      <c r="AE33" s="157">
        <v>2358.5920799999999</v>
      </c>
      <c r="AF33" s="184">
        <v>-4185.0903500000004</v>
      </c>
      <c r="AG33" s="278">
        <v>-5331.7265700000007</v>
      </c>
      <c r="AH33" s="278">
        <v>12.42473</v>
      </c>
      <c r="AI33" s="184">
        <v>4304.3046299999996</v>
      </c>
      <c r="AJ33" s="278">
        <v>6145.5784100000001</v>
      </c>
      <c r="AL33" s="278">
        <v>22169.713469999999</v>
      </c>
      <c r="AM33" s="184">
        <v>-6.32</v>
      </c>
      <c r="AN33" s="278">
        <v>-3270.4541600000002</v>
      </c>
      <c r="AO33" s="355">
        <v>9646</v>
      </c>
      <c r="AP33" s="344">
        <v>8.36</v>
      </c>
      <c r="AQ33" s="462"/>
      <c r="AS33" s="469">
        <v>9334.502410000001</v>
      </c>
      <c r="AT33" s="278">
        <v>33564.563390000003</v>
      </c>
      <c r="AU33" s="464"/>
      <c r="AV33" s="346">
        <v>16093.7379</v>
      </c>
      <c r="AW33" s="346">
        <v>2455.5802999999996</v>
      </c>
      <c r="AX33" s="346">
        <v>2825.0398399999999</v>
      </c>
      <c r="AY33" s="346">
        <v>21374.358039999999</v>
      </c>
      <c r="AZ33" s="346">
        <v>10345.641</v>
      </c>
      <c r="BA33" s="278">
        <v>1.28084</v>
      </c>
      <c r="BB33" s="345">
        <v>349.07848999999999</v>
      </c>
      <c r="BC33" s="278">
        <v>146.32024999999999</v>
      </c>
      <c r="BD33" s="278">
        <v>3.4742899999999999</v>
      </c>
      <c r="BE33" s="346">
        <v>7284.9863700000005</v>
      </c>
      <c r="BG33" s="343">
        <v>3856.7577000000001</v>
      </c>
      <c r="BH33" s="343">
        <v>0</v>
      </c>
      <c r="BI33" s="346">
        <v>0</v>
      </c>
      <c r="BJ33" s="346">
        <v>3428.22867</v>
      </c>
      <c r="BK33" s="343">
        <v>-12.644579999999999</v>
      </c>
      <c r="BL33" s="343">
        <v>0</v>
      </c>
      <c r="BM33" s="343">
        <v>0</v>
      </c>
      <c r="BN33" s="346">
        <v>3440.8732500000001</v>
      </c>
      <c r="BP33" s="346">
        <v>12781.321460000001</v>
      </c>
      <c r="BQ33" s="318">
        <v>7033.90769</v>
      </c>
      <c r="BR33" s="278">
        <v>-251.07867999999999</v>
      </c>
      <c r="BS33" s="475">
        <v>-14716.209859999999</v>
      </c>
      <c r="BT33" s="278">
        <v>150</v>
      </c>
      <c r="BU33" s="278">
        <v>387.98500000000001</v>
      </c>
      <c r="BV33" s="345">
        <v>4226.1045000000004</v>
      </c>
      <c r="BX33" s="278">
        <v>29931.943670000001</v>
      </c>
      <c r="BY33" s="483">
        <v>-27.78</v>
      </c>
      <c r="BZ33" s="483">
        <v>7762.2302</v>
      </c>
      <c r="CA33" s="260"/>
      <c r="CB33" s="347">
        <v>9</v>
      </c>
      <c r="CC33" s="486">
        <f t="shared" si="0"/>
        <v>9</v>
      </c>
      <c r="CD33" s="287"/>
      <c r="CE33" s="278"/>
      <c r="CF33" s="268"/>
      <c r="CI33" s="158">
        <v>0</v>
      </c>
      <c r="CJ33" s="343">
        <v>8134.5961383857493</v>
      </c>
      <c r="CK33" s="343">
        <v>8615.8066341758567</v>
      </c>
      <c r="CL33" s="343">
        <v>8993.954772529476</v>
      </c>
      <c r="CM33" s="487">
        <v>9029.7989647818122</v>
      </c>
      <c r="CN33" s="487">
        <v>9854.5990396860325</v>
      </c>
      <c r="CO33" s="495">
        <v>1132.5039999999999</v>
      </c>
      <c r="CP33" s="299"/>
      <c r="CQ33" s="489">
        <v>0</v>
      </c>
      <c r="CR33" s="489">
        <v>0</v>
      </c>
    </row>
    <row r="34" spans="1:96" x14ac:dyDescent="0.2">
      <c r="A34" s="154">
        <v>103</v>
      </c>
      <c r="B34" s="156" t="s">
        <v>68</v>
      </c>
      <c r="C34" s="337">
        <v>2161</v>
      </c>
      <c r="D34" s="276">
        <v>22</v>
      </c>
      <c r="E34" s="185"/>
      <c r="G34" s="278">
        <v>1187.72397</v>
      </c>
      <c r="H34" s="278">
        <v>15195.68398</v>
      </c>
      <c r="I34" s="278"/>
      <c r="J34" s="278">
        <v>6908.5585300000002</v>
      </c>
      <c r="K34" s="278">
        <v>657.57611999999995</v>
      </c>
      <c r="L34" s="278">
        <v>601.98933999999997</v>
      </c>
      <c r="M34" s="278">
        <v>8168.12399</v>
      </c>
      <c r="N34" s="278">
        <v>6029.6629999999996</v>
      </c>
      <c r="O34" s="278">
        <v>9.8822800000000015</v>
      </c>
      <c r="P34" s="278">
        <v>55.38597</v>
      </c>
      <c r="Q34" s="278">
        <v>13.44215</v>
      </c>
      <c r="R34" s="278">
        <v>0.21711000000000003</v>
      </c>
      <c r="S34" s="278">
        <v>157.54832999999999</v>
      </c>
      <c r="U34" s="278">
        <v>340.42323999999996</v>
      </c>
      <c r="V34" s="278">
        <v>0</v>
      </c>
      <c r="W34" s="278">
        <v>0</v>
      </c>
      <c r="X34" s="278">
        <v>-182.87491</v>
      </c>
      <c r="Y34" s="278">
        <v>-2.3321700000000001</v>
      </c>
      <c r="Z34" s="278">
        <v>0</v>
      </c>
      <c r="AA34" s="278">
        <v>-2.9780000000000002</v>
      </c>
      <c r="AB34" s="278">
        <v>-177.56474</v>
      </c>
      <c r="AD34" s="278">
        <v>418.76159999999999</v>
      </c>
      <c r="AE34" s="157">
        <v>115.03596</v>
      </c>
      <c r="AF34" s="184">
        <v>-42.512370000000004</v>
      </c>
      <c r="AG34" s="278">
        <v>-316.54960999999997</v>
      </c>
      <c r="AH34" s="278">
        <v>12.4</v>
      </c>
      <c r="AI34" s="184">
        <v>50</v>
      </c>
      <c r="AJ34" s="278">
        <v>648.18998999999997</v>
      </c>
      <c r="AL34" s="278">
        <v>3925.0000000000005</v>
      </c>
      <c r="AM34" s="184">
        <v>62.833320000000001</v>
      </c>
      <c r="AN34" s="278">
        <v>-650</v>
      </c>
      <c r="AO34" s="355">
        <v>2125</v>
      </c>
      <c r="AP34" s="344">
        <v>9.36</v>
      </c>
      <c r="AQ34" s="462"/>
      <c r="AS34" s="469">
        <v>882.80901000000006</v>
      </c>
      <c r="AT34" s="278">
        <v>7011.4946600000003</v>
      </c>
      <c r="AU34" s="464"/>
      <c r="AV34" s="346">
        <v>3603.8335099999999</v>
      </c>
      <c r="AW34" s="346">
        <v>416.00859000000003</v>
      </c>
      <c r="AX34" s="346">
        <v>723.0479499999999</v>
      </c>
      <c r="AY34" s="346">
        <v>4742.89005</v>
      </c>
      <c r="AZ34" s="346">
        <v>1755.0050000000001</v>
      </c>
      <c r="BA34" s="278">
        <v>22.348790000000001</v>
      </c>
      <c r="BB34" s="345">
        <v>64.748670000000004</v>
      </c>
      <c r="BC34" s="278">
        <v>8.9752900000000011</v>
      </c>
      <c r="BD34" s="278">
        <v>8.6879999999999999E-2</v>
      </c>
      <c r="BE34" s="346">
        <v>335.69792999999999</v>
      </c>
      <c r="BG34" s="343">
        <v>356.92570000000001</v>
      </c>
      <c r="BH34" s="343">
        <v>0</v>
      </c>
      <c r="BI34" s="343">
        <v>0</v>
      </c>
      <c r="BJ34" s="346">
        <v>-21.22777</v>
      </c>
      <c r="BK34" s="346">
        <v>-2.3321700000000001</v>
      </c>
      <c r="BL34" s="343">
        <v>0</v>
      </c>
      <c r="BM34" s="343">
        <v>-3.5</v>
      </c>
      <c r="BN34" s="346">
        <v>-15.3956</v>
      </c>
      <c r="BP34" s="346">
        <v>403.36599999999999</v>
      </c>
      <c r="BQ34" s="318">
        <v>335.69792999999999</v>
      </c>
      <c r="BR34" s="278">
        <v>0</v>
      </c>
      <c r="BS34" s="475">
        <v>-374.02143999999998</v>
      </c>
      <c r="BT34" s="278">
        <v>0</v>
      </c>
      <c r="BU34" s="278">
        <v>0</v>
      </c>
      <c r="BV34" s="345">
        <v>326.50056999999998</v>
      </c>
      <c r="BX34" s="278">
        <v>3725</v>
      </c>
      <c r="BY34" s="483">
        <v>8.6336399999999998</v>
      </c>
      <c r="BZ34" s="483">
        <v>-200</v>
      </c>
      <c r="CA34" s="260"/>
      <c r="CB34" s="347">
        <v>9.3000000000000007</v>
      </c>
      <c r="CC34" s="486">
        <f t="shared" si="0"/>
        <v>9.3000000000000007</v>
      </c>
      <c r="CD34" s="287"/>
      <c r="CE34" s="278"/>
      <c r="CF34" s="268"/>
      <c r="CG34" s="266"/>
      <c r="CI34" s="158">
        <v>350</v>
      </c>
      <c r="CJ34" s="343">
        <v>1278.9269520791872</v>
      </c>
      <c r="CK34" s="343">
        <v>1317.603097209236</v>
      </c>
      <c r="CL34" s="343">
        <v>1330.3275861478196</v>
      </c>
      <c r="CM34" s="487">
        <v>1314.8886448168532</v>
      </c>
      <c r="CN34" s="487">
        <v>1627.7907102163103</v>
      </c>
      <c r="CO34" s="495">
        <v>-577.75199999999995</v>
      </c>
      <c r="CP34" s="299"/>
      <c r="CQ34" s="489">
        <v>0</v>
      </c>
      <c r="CR34" s="489">
        <v>0</v>
      </c>
    </row>
    <row r="35" spans="1:96" x14ac:dyDescent="0.2">
      <c r="A35" s="154">
        <v>105</v>
      </c>
      <c r="B35" s="156" t="s">
        <v>69</v>
      </c>
      <c r="C35" s="337">
        <v>2094</v>
      </c>
      <c r="D35" s="276">
        <v>21.75</v>
      </c>
      <c r="E35" s="185"/>
      <c r="G35" s="278">
        <v>2311.5799900000002</v>
      </c>
      <c r="H35" s="278">
        <v>21391.521239999998</v>
      </c>
      <c r="I35" s="278"/>
      <c r="J35" s="278">
        <v>6354.2674900000002</v>
      </c>
      <c r="K35" s="278">
        <v>1245.1237100000001</v>
      </c>
      <c r="L35" s="278">
        <v>1202.6497400000001</v>
      </c>
      <c r="M35" s="278">
        <v>8802.040939999999</v>
      </c>
      <c r="N35" s="278">
        <v>12598.597</v>
      </c>
      <c r="O35" s="278">
        <v>8.1444100000000006</v>
      </c>
      <c r="P35" s="278">
        <v>26.044640000000001</v>
      </c>
      <c r="Q35" s="278">
        <v>20.562609999999999</v>
      </c>
      <c r="R35" s="278">
        <v>1.36663</v>
      </c>
      <c r="S35" s="278">
        <v>2321.99244</v>
      </c>
      <c r="U35" s="278">
        <v>516.93809999999996</v>
      </c>
      <c r="V35" s="278">
        <v>153.39400000000001</v>
      </c>
      <c r="W35" s="278">
        <v>0</v>
      </c>
      <c r="X35" s="278">
        <v>1958.4483400000001</v>
      </c>
      <c r="Y35" s="278">
        <v>-52.070550000000004</v>
      </c>
      <c r="Z35" s="278">
        <v>0</v>
      </c>
      <c r="AA35" s="278">
        <v>0</v>
      </c>
      <c r="AB35" s="278">
        <v>2010.5188899999998</v>
      </c>
      <c r="AD35" s="278">
        <v>3211.5411099999997</v>
      </c>
      <c r="AE35" s="157">
        <v>2310.2657899999999</v>
      </c>
      <c r="AF35" s="184">
        <v>-165.12064999999998</v>
      </c>
      <c r="AG35" s="278">
        <v>-1587.70596</v>
      </c>
      <c r="AH35" s="278">
        <v>101.2602</v>
      </c>
      <c r="AI35" s="184">
        <v>220.28773999999999</v>
      </c>
      <c r="AJ35" s="278">
        <v>1444.3465800000001</v>
      </c>
      <c r="AL35" s="278">
        <v>2992</v>
      </c>
      <c r="AM35" s="184">
        <v>-7.9247500000000004</v>
      </c>
      <c r="AN35" s="278">
        <v>179.24799999999999</v>
      </c>
      <c r="AO35" s="355">
        <v>2063</v>
      </c>
      <c r="AP35" s="344">
        <v>9.11</v>
      </c>
      <c r="AQ35" s="462"/>
      <c r="AS35" s="469">
        <v>2312.3123900000001</v>
      </c>
      <c r="AT35" s="278">
        <v>8365.8215500000006</v>
      </c>
      <c r="AU35" s="464"/>
      <c r="AV35" s="346">
        <v>3037.3978900000002</v>
      </c>
      <c r="AW35" s="346">
        <v>702.19534999999996</v>
      </c>
      <c r="AX35" s="346">
        <v>1291.9217800000001</v>
      </c>
      <c r="AY35" s="346">
        <v>5031.5150199999998</v>
      </c>
      <c r="AZ35" s="346">
        <v>2476.288</v>
      </c>
      <c r="BA35" s="278">
        <v>7.28024</v>
      </c>
      <c r="BB35" s="345">
        <v>104.47258000000001</v>
      </c>
      <c r="BC35" s="278">
        <v>2.9548899999999998</v>
      </c>
      <c r="BD35" s="278">
        <v>1.0922100000000001</v>
      </c>
      <c r="BE35" s="346">
        <v>1358.9641999999999</v>
      </c>
      <c r="BG35" s="343">
        <v>575.39443000000006</v>
      </c>
      <c r="BH35" s="346">
        <v>0</v>
      </c>
      <c r="BI35" s="346">
        <v>0</v>
      </c>
      <c r="BJ35" s="346">
        <v>783.56977000000006</v>
      </c>
      <c r="BK35" s="346">
        <v>-71.215820000000008</v>
      </c>
      <c r="BL35" s="346">
        <v>0</v>
      </c>
      <c r="BM35" s="343">
        <v>0</v>
      </c>
      <c r="BN35" s="346">
        <v>854.78558999999996</v>
      </c>
      <c r="BP35" s="346">
        <v>4066.3266999999996</v>
      </c>
      <c r="BQ35" s="318">
        <v>1361.81483</v>
      </c>
      <c r="BR35" s="278">
        <v>2.8506300000000002</v>
      </c>
      <c r="BS35" s="475">
        <v>-846.71906999999999</v>
      </c>
      <c r="BT35" s="278">
        <v>9.0523199999999999</v>
      </c>
      <c r="BU35" s="278">
        <v>46.977739999999997</v>
      </c>
      <c r="BV35" s="345">
        <v>2244.6239</v>
      </c>
      <c r="BX35" s="278">
        <v>2900</v>
      </c>
      <c r="BY35" s="483">
        <v>0</v>
      </c>
      <c r="BZ35" s="483">
        <v>-92</v>
      </c>
      <c r="CA35" s="260"/>
      <c r="CB35" s="347">
        <v>9</v>
      </c>
      <c r="CC35" s="486">
        <f t="shared" si="0"/>
        <v>9</v>
      </c>
      <c r="CD35" s="287"/>
      <c r="CE35" s="278"/>
      <c r="CF35" s="268"/>
      <c r="CG35" s="266"/>
      <c r="CI35" s="158">
        <v>0</v>
      </c>
      <c r="CJ35" s="343">
        <v>2673.9202615076952</v>
      </c>
      <c r="CK35" s="343">
        <v>2984.3815326093086</v>
      </c>
      <c r="CL35" s="343">
        <v>2937.7760870300613</v>
      </c>
      <c r="CM35" s="487">
        <v>2904.2573580101803</v>
      </c>
      <c r="CN35" s="487">
        <v>3327.6723027038142</v>
      </c>
      <c r="CO35" s="495">
        <v>-491.76600000000002</v>
      </c>
      <c r="CP35" s="299"/>
      <c r="CQ35" s="489">
        <v>0</v>
      </c>
      <c r="CR35" s="489">
        <v>0</v>
      </c>
    </row>
    <row r="36" spans="1:96" x14ac:dyDescent="0.2">
      <c r="A36" s="154">
        <v>106</v>
      </c>
      <c r="B36" s="156" t="s">
        <v>70</v>
      </c>
      <c r="C36" s="337">
        <v>46797</v>
      </c>
      <c r="D36" s="276">
        <v>20.250000000000004</v>
      </c>
      <c r="E36" s="185"/>
      <c r="G36" s="278">
        <v>47958.450210000003</v>
      </c>
      <c r="H36" s="278">
        <v>325067.90662999998</v>
      </c>
      <c r="I36" s="278"/>
      <c r="J36" s="278">
        <v>202344.96719999998</v>
      </c>
      <c r="K36" s="278">
        <v>23542.44238</v>
      </c>
      <c r="L36" s="278">
        <v>14965.76647</v>
      </c>
      <c r="M36" s="278">
        <v>240853.17605000001</v>
      </c>
      <c r="N36" s="278">
        <v>70346.784</v>
      </c>
      <c r="O36" s="278">
        <v>61.925339999999998</v>
      </c>
      <c r="P36" s="278">
        <v>1826.47757</v>
      </c>
      <c r="Q36" s="278">
        <v>1731.74062</v>
      </c>
      <c r="R36" s="278">
        <v>20.357939999999999</v>
      </c>
      <c r="S36" s="278">
        <v>35791.343200000003</v>
      </c>
      <c r="U36" s="278">
        <v>21025.808300000001</v>
      </c>
      <c r="V36" s="278">
        <v>0</v>
      </c>
      <c r="W36" s="278">
        <v>0</v>
      </c>
      <c r="X36" s="278">
        <v>14765.534900000001</v>
      </c>
      <c r="Y36" s="278">
        <v>-366.66672</v>
      </c>
      <c r="Z36" s="278">
        <v>5000</v>
      </c>
      <c r="AA36" s="278">
        <v>0</v>
      </c>
      <c r="AB36" s="278">
        <v>10132.20162</v>
      </c>
      <c r="AD36" s="278">
        <v>34128.899579999998</v>
      </c>
      <c r="AE36" s="157">
        <v>24751.992549999999</v>
      </c>
      <c r="AF36" s="184">
        <v>-11039.350640000001</v>
      </c>
      <c r="AG36" s="278">
        <v>-20410.352999999999</v>
      </c>
      <c r="AH36" s="278">
        <v>380</v>
      </c>
      <c r="AI36" s="184">
        <v>8901.2404999999999</v>
      </c>
      <c r="AJ36" s="278">
        <v>29825.61246</v>
      </c>
      <c r="AL36" s="278">
        <v>114226.22190999999</v>
      </c>
      <c r="AM36" s="184">
        <v>161.584</v>
      </c>
      <c r="AN36" s="278">
        <v>-20397.016660000001</v>
      </c>
      <c r="AO36" s="355">
        <v>46901</v>
      </c>
      <c r="AP36" s="344">
        <v>7.6100000000000012</v>
      </c>
      <c r="AQ36" s="462"/>
      <c r="AS36" s="469">
        <v>41045.558600000004</v>
      </c>
      <c r="AT36" s="278">
        <v>140834.45353</v>
      </c>
      <c r="AU36" s="464"/>
      <c r="AV36" s="346">
        <v>95505.564239999992</v>
      </c>
      <c r="AW36" s="346">
        <v>14506.77246</v>
      </c>
      <c r="AX36" s="346">
        <v>14562.026199999998</v>
      </c>
      <c r="AY36" s="346">
        <v>124574.36290000001</v>
      </c>
      <c r="AZ36" s="346">
        <v>21067.143479999999</v>
      </c>
      <c r="BA36" s="278">
        <v>263.44014000000004</v>
      </c>
      <c r="BB36" s="345">
        <v>2217.9944</v>
      </c>
      <c r="BC36" s="278">
        <v>1165.45019</v>
      </c>
      <c r="BD36" s="278">
        <v>28.839009999999998</v>
      </c>
      <c r="BE36" s="346">
        <v>46876.178369999994</v>
      </c>
      <c r="BG36" s="343">
        <v>20315.58858</v>
      </c>
      <c r="BH36" s="343">
        <v>0</v>
      </c>
      <c r="BI36" s="343">
        <v>0</v>
      </c>
      <c r="BJ36" s="346">
        <v>26560.589789999998</v>
      </c>
      <c r="BK36" s="346">
        <v>-366.66672</v>
      </c>
      <c r="BL36" s="343">
        <v>15000</v>
      </c>
      <c r="BM36" s="343">
        <v>0</v>
      </c>
      <c r="BN36" s="346">
        <v>11927.256509999999</v>
      </c>
      <c r="BP36" s="346">
        <v>46056.156089999997</v>
      </c>
      <c r="BQ36" s="318">
        <v>43651.823320000003</v>
      </c>
      <c r="BR36" s="278">
        <v>-3224.3550499999997</v>
      </c>
      <c r="BS36" s="475">
        <v>-26964.64934</v>
      </c>
      <c r="BT36" s="278">
        <v>767.58799999999997</v>
      </c>
      <c r="BU36" s="278">
        <v>7212.4542999999994</v>
      </c>
      <c r="BV36" s="345">
        <v>39376.50864</v>
      </c>
      <c r="BX36" s="278">
        <v>103222.06723</v>
      </c>
      <c r="BY36" s="483">
        <v>71.584000000000003</v>
      </c>
      <c r="BZ36" s="483">
        <v>-11004.15468</v>
      </c>
      <c r="CA36" s="260"/>
      <c r="CB36" s="347">
        <v>7.6</v>
      </c>
      <c r="CC36" s="486">
        <f t="shared" si="0"/>
        <v>7.6</v>
      </c>
      <c r="CD36" s="287"/>
      <c r="CE36" s="278"/>
      <c r="CF36" s="268"/>
      <c r="CI36" s="158">
        <v>0</v>
      </c>
      <c r="CJ36" s="343">
        <v>11756.97710288001</v>
      </c>
      <c r="CK36" s="343">
        <v>14908.671631099749</v>
      </c>
      <c r="CL36" s="343">
        <v>14331.569156276737</v>
      </c>
      <c r="CM36" s="487">
        <v>14505.172717149808</v>
      </c>
      <c r="CN36" s="487">
        <v>16235.624050521199</v>
      </c>
      <c r="CO36" s="495">
        <v>-1773.4169999999999</v>
      </c>
      <c r="CP36" s="299"/>
      <c r="CQ36" s="489">
        <v>1754.0091200000002</v>
      </c>
      <c r="CR36" s="489">
        <v>1841.51</v>
      </c>
    </row>
    <row r="37" spans="1:96" x14ac:dyDescent="0.2">
      <c r="A37" s="154">
        <v>108</v>
      </c>
      <c r="B37" s="156" t="s">
        <v>71</v>
      </c>
      <c r="C37" s="337">
        <v>10257</v>
      </c>
      <c r="D37" s="276">
        <v>22.000000000000004</v>
      </c>
      <c r="E37" s="185"/>
      <c r="G37" s="278">
        <v>14604.05255</v>
      </c>
      <c r="H37" s="278">
        <v>76969.856360000005</v>
      </c>
      <c r="I37" s="278"/>
      <c r="J37" s="278">
        <v>38336.026279999998</v>
      </c>
      <c r="K37" s="278">
        <v>3194.1154200000001</v>
      </c>
      <c r="L37" s="278">
        <v>2309.4678100000001</v>
      </c>
      <c r="M37" s="278">
        <v>43839.609509999995</v>
      </c>
      <c r="N37" s="278">
        <v>26010.348000000002</v>
      </c>
      <c r="O37" s="278">
        <v>11.368399999999999</v>
      </c>
      <c r="P37" s="278">
        <v>540.65257999999994</v>
      </c>
      <c r="Q37" s="278">
        <v>285.70733000000001</v>
      </c>
      <c r="R37" s="278">
        <v>118.92941999999999</v>
      </c>
      <c r="S37" s="278">
        <v>7172.9690199999995</v>
      </c>
      <c r="U37" s="278">
        <v>5149.27981</v>
      </c>
      <c r="V37" s="278">
        <v>0</v>
      </c>
      <c r="W37" s="278">
        <v>0</v>
      </c>
      <c r="X37" s="278">
        <v>2023.68921</v>
      </c>
      <c r="Y37" s="278">
        <v>-77.211219999999997</v>
      </c>
      <c r="Z37" s="278">
        <v>0</v>
      </c>
      <c r="AA37" s="278">
        <v>0</v>
      </c>
      <c r="AB37" s="278">
        <v>2100.9004300000001</v>
      </c>
      <c r="AD37" s="278">
        <v>2182.6102500000002</v>
      </c>
      <c r="AE37" s="157">
        <v>6763.4792800000005</v>
      </c>
      <c r="AF37" s="184">
        <v>-409.48973999999998</v>
      </c>
      <c r="AG37" s="278">
        <v>-3097.48326</v>
      </c>
      <c r="AH37" s="278">
        <v>45.603999999999999</v>
      </c>
      <c r="AI37" s="184">
        <v>616.33600000000001</v>
      </c>
      <c r="AJ37" s="278">
        <v>10735.001699999997</v>
      </c>
      <c r="AL37" s="278">
        <v>41247.447</v>
      </c>
      <c r="AM37" s="184">
        <v>17.11628</v>
      </c>
      <c r="AN37" s="278">
        <v>-4875.4340000000002</v>
      </c>
      <c r="AO37" s="355">
        <v>10319</v>
      </c>
      <c r="AP37" s="344">
        <v>9.36</v>
      </c>
      <c r="AQ37" s="462"/>
      <c r="AS37" s="469">
        <v>8616.0580900000004</v>
      </c>
      <c r="AT37" s="278">
        <v>34298.91545</v>
      </c>
      <c r="AU37" s="464"/>
      <c r="AV37" s="346">
        <v>19412.017159999999</v>
      </c>
      <c r="AW37" s="346">
        <v>2322.7038600000001</v>
      </c>
      <c r="AX37" s="346">
        <v>2386.2895099999996</v>
      </c>
      <c r="AY37" s="346">
        <v>24121.01053</v>
      </c>
      <c r="AZ37" s="346">
        <v>8966.6830000000009</v>
      </c>
      <c r="BA37" s="278">
        <v>232.71754000000001</v>
      </c>
      <c r="BB37" s="345">
        <v>675.68808999999999</v>
      </c>
      <c r="BC37" s="278">
        <v>246.82551999999998</v>
      </c>
      <c r="BD37" s="278">
        <v>19.769009999999998</v>
      </c>
      <c r="BE37" s="346">
        <v>7223.5788300000004</v>
      </c>
      <c r="BG37" s="343">
        <v>5047.4285499999996</v>
      </c>
      <c r="BH37" s="346">
        <v>0</v>
      </c>
      <c r="BI37" s="343">
        <v>0</v>
      </c>
      <c r="BJ37" s="346">
        <v>2176.1502799999998</v>
      </c>
      <c r="BK37" s="346">
        <v>-77.211219999999997</v>
      </c>
      <c r="BL37" s="343">
        <v>0</v>
      </c>
      <c r="BM37" s="343">
        <v>0</v>
      </c>
      <c r="BN37" s="346">
        <v>2253.3615</v>
      </c>
      <c r="BP37" s="346">
        <v>4435.9717500000006</v>
      </c>
      <c r="BQ37" s="318">
        <v>6980.6250899999995</v>
      </c>
      <c r="BR37" s="278">
        <v>-242.95373999999998</v>
      </c>
      <c r="BS37" s="475">
        <v>-5168.9989500000001</v>
      </c>
      <c r="BT37" s="278">
        <v>34.4</v>
      </c>
      <c r="BU37" s="278">
        <v>818.61301000000003</v>
      </c>
      <c r="BV37" s="345">
        <v>8465.6874499999994</v>
      </c>
      <c r="BX37" s="278">
        <v>37937.792999999998</v>
      </c>
      <c r="BY37" s="483">
        <v>17.11628</v>
      </c>
      <c r="BZ37" s="483">
        <v>-3309.654</v>
      </c>
      <c r="CA37" s="260"/>
      <c r="CB37" s="347">
        <v>9.4</v>
      </c>
      <c r="CC37" s="486">
        <f t="shared" si="0"/>
        <v>9.4</v>
      </c>
      <c r="CD37" s="287"/>
      <c r="CE37" s="278"/>
      <c r="CF37" s="268"/>
      <c r="CI37" s="158">
        <v>0</v>
      </c>
      <c r="CJ37" s="343">
        <v>8095.2217826163997</v>
      </c>
      <c r="CK37" s="343">
        <v>8643.1590553365459</v>
      </c>
      <c r="CL37" s="343">
        <v>9094.7332659260064</v>
      </c>
      <c r="CM37" s="487">
        <v>9132.3506659339146</v>
      </c>
      <c r="CN37" s="487">
        <v>10027.576131308078</v>
      </c>
      <c r="CO37" s="495">
        <v>-1240.453</v>
      </c>
      <c r="CP37" s="299"/>
      <c r="CQ37" s="489">
        <v>51.321589999999993</v>
      </c>
      <c r="CR37" s="489">
        <v>34.656699999999994</v>
      </c>
    </row>
    <row r="38" spans="1:96" x14ac:dyDescent="0.2">
      <c r="A38" s="154">
        <v>109</v>
      </c>
      <c r="B38" s="156" t="s">
        <v>72</v>
      </c>
      <c r="C38" s="337">
        <v>68043</v>
      </c>
      <c r="D38" s="276">
        <v>21</v>
      </c>
      <c r="E38" s="185"/>
      <c r="G38" s="278">
        <v>96645.295939999996</v>
      </c>
      <c r="H38" s="278">
        <v>514488.63043999998</v>
      </c>
      <c r="I38" s="278"/>
      <c r="J38" s="278">
        <v>272905.68110000005</v>
      </c>
      <c r="K38" s="278">
        <v>26907.20318</v>
      </c>
      <c r="L38" s="278">
        <v>29253.784809999997</v>
      </c>
      <c r="M38" s="278">
        <v>329066.66908999998</v>
      </c>
      <c r="N38" s="278">
        <v>119344.806</v>
      </c>
      <c r="O38" s="278">
        <v>2303.81819</v>
      </c>
      <c r="P38" s="278">
        <v>4178.9826400000002</v>
      </c>
      <c r="Q38" s="278">
        <v>9827.6918000000005</v>
      </c>
      <c r="R38" s="278">
        <v>10359.258179999999</v>
      </c>
      <c r="S38" s="278">
        <v>29021.114850000002</v>
      </c>
      <c r="U38" s="278">
        <v>28827.575530000002</v>
      </c>
      <c r="V38" s="278">
        <v>9702.5133399999995</v>
      </c>
      <c r="W38" s="278">
        <v>0</v>
      </c>
      <c r="X38" s="278">
        <v>9896.0526599999994</v>
      </c>
      <c r="Y38" s="278">
        <v>-2265.6075499999997</v>
      </c>
      <c r="Z38" s="278">
        <v>10574.675230000001</v>
      </c>
      <c r="AA38" s="278">
        <v>0</v>
      </c>
      <c r="AB38" s="278">
        <v>1586.98498</v>
      </c>
      <c r="AD38" s="278">
        <v>5181.0974299999998</v>
      </c>
      <c r="AE38" s="157">
        <v>24068.471850000002</v>
      </c>
      <c r="AF38" s="184">
        <v>-14655.156300000001</v>
      </c>
      <c r="AG38" s="278">
        <v>-42401.394340000006</v>
      </c>
      <c r="AH38" s="278">
        <v>917.12813000000006</v>
      </c>
      <c r="AI38" s="184">
        <v>27842.087289999999</v>
      </c>
      <c r="AJ38" s="278">
        <v>121592.2837</v>
      </c>
      <c r="AL38" s="278">
        <v>245289.94665000003</v>
      </c>
      <c r="AM38" s="184">
        <v>200.67543000000001</v>
      </c>
      <c r="AN38" s="278">
        <v>-71732.263439999995</v>
      </c>
      <c r="AO38" s="355">
        <v>68319</v>
      </c>
      <c r="AP38" s="344">
        <v>8.36</v>
      </c>
      <c r="AQ38" s="462"/>
      <c r="AS38" s="469">
        <v>45170.555979999997</v>
      </c>
      <c r="AT38" s="278">
        <v>198366.95831000002</v>
      </c>
      <c r="AU38" s="464"/>
      <c r="AV38" s="346">
        <v>138242.19569999998</v>
      </c>
      <c r="AW38" s="346">
        <v>18882.396820000002</v>
      </c>
      <c r="AX38" s="346">
        <v>30020.790800000002</v>
      </c>
      <c r="AY38" s="346">
        <v>187145.38331999999</v>
      </c>
      <c r="AZ38" s="346">
        <v>14607.552</v>
      </c>
      <c r="BA38" s="278">
        <v>2562.1332699999998</v>
      </c>
      <c r="BB38" s="345">
        <v>3214.9380899999996</v>
      </c>
      <c r="BC38" s="278">
        <v>6346.2636700000003</v>
      </c>
      <c r="BD38" s="278">
        <v>519.68383000000006</v>
      </c>
      <c r="BE38" s="346">
        <v>54589.599119999999</v>
      </c>
      <c r="BG38" s="343">
        <v>23681.016589999999</v>
      </c>
      <c r="BH38" s="343">
        <v>0</v>
      </c>
      <c r="BI38" s="346">
        <v>2061.8490400000001</v>
      </c>
      <c r="BJ38" s="346">
        <v>28846.733489999999</v>
      </c>
      <c r="BK38" s="346">
        <v>-196.02626000000001</v>
      </c>
      <c r="BL38" s="346">
        <v>0</v>
      </c>
      <c r="BM38" s="346">
        <v>17000</v>
      </c>
      <c r="BN38" s="346">
        <v>12042.759749999999</v>
      </c>
      <c r="BP38" s="346">
        <v>17223.85714</v>
      </c>
      <c r="BQ38" s="318">
        <v>50936.388880000006</v>
      </c>
      <c r="BR38" s="278">
        <v>-1591.3611599999999</v>
      </c>
      <c r="BS38" s="475">
        <v>-35089.469010000001</v>
      </c>
      <c r="BT38" s="278">
        <v>1230.8109999999999</v>
      </c>
      <c r="BU38" s="278">
        <v>2266.2987200000002</v>
      </c>
      <c r="BV38" s="345">
        <v>129030.03979000001</v>
      </c>
      <c r="BX38" s="278">
        <v>240555.00461</v>
      </c>
      <c r="BY38" s="483">
        <v>435.66128999999995</v>
      </c>
      <c r="BZ38" s="483">
        <v>-4734.9420399999999</v>
      </c>
      <c r="CA38" s="260"/>
      <c r="CB38" s="347">
        <v>8.4</v>
      </c>
      <c r="CC38" s="486">
        <f t="shared" si="0"/>
        <v>8.4</v>
      </c>
      <c r="CD38" s="287"/>
      <c r="CE38" s="278"/>
      <c r="CF38" s="268"/>
      <c r="CI38" s="158">
        <v>0</v>
      </c>
      <c r="CJ38" s="343">
        <v>14369.640929834288</v>
      </c>
      <c r="CK38" s="343">
        <v>16890.974713325133</v>
      </c>
      <c r="CL38" s="343">
        <v>14041.951522087489</v>
      </c>
      <c r="CM38" s="487">
        <v>13834.279549487059</v>
      </c>
      <c r="CN38" s="487">
        <v>17299.758895432533</v>
      </c>
      <c r="CO38" s="495">
        <v>-13475.050999999999</v>
      </c>
      <c r="CP38" s="299"/>
      <c r="CQ38" s="489">
        <v>859.70508999999993</v>
      </c>
      <c r="CR38" s="489">
        <v>859.29111</v>
      </c>
    </row>
    <row r="39" spans="1:96" x14ac:dyDescent="0.2">
      <c r="A39" s="154">
        <v>139</v>
      </c>
      <c r="B39" s="156" t="s">
        <v>73</v>
      </c>
      <c r="C39" s="337">
        <v>9853</v>
      </c>
      <c r="D39" s="276">
        <v>21.5</v>
      </c>
      <c r="E39" s="185"/>
      <c r="G39" s="278">
        <v>10309.62521</v>
      </c>
      <c r="H39" s="278">
        <v>77046.583989999999</v>
      </c>
      <c r="I39" s="278"/>
      <c r="J39" s="278">
        <v>31837.783359999998</v>
      </c>
      <c r="K39" s="278">
        <v>2225.8653199999999</v>
      </c>
      <c r="L39" s="278">
        <v>4796.2512999999999</v>
      </c>
      <c r="M39" s="278">
        <v>38859.899979999995</v>
      </c>
      <c r="N39" s="278">
        <v>33013.608</v>
      </c>
      <c r="O39" s="278">
        <v>13.357250000000001</v>
      </c>
      <c r="P39" s="278">
        <v>377.89017999999999</v>
      </c>
      <c r="Q39" s="278">
        <v>72.676929999999999</v>
      </c>
      <c r="R39" s="278">
        <v>3.2933600000000003</v>
      </c>
      <c r="S39" s="278">
        <v>4841.39984</v>
      </c>
      <c r="U39" s="278">
        <v>4121.6699399999998</v>
      </c>
      <c r="V39" s="278">
        <v>0</v>
      </c>
      <c r="W39" s="278">
        <v>0</v>
      </c>
      <c r="X39" s="278">
        <v>719.72990000000004</v>
      </c>
      <c r="Y39" s="278">
        <v>-66.379530000000003</v>
      </c>
      <c r="Z39" s="278">
        <v>450</v>
      </c>
      <c r="AA39" s="278">
        <v>0</v>
      </c>
      <c r="AB39" s="278">
        <v>336.10942999999997</v>
      </c>
      <c r="AD39" s="278">
        <v>2400.1926200000003</v>
      </c>
      <c r="AE39" s="157">
        <v>4506.8005899999998</v>
      </c>
      <c r="AF39" s="184">
        <v>-334.59924999999998</v>
      </c>
      <c r="AG39" s="278">
        <v>-5182.7209899999998</v>
      </c>
      <c r="AH39" s="278">
        <v>88.421999999999997</v>
      </c>
      <c r="AI39" s="184">
        <v>254.96386999999999</v>
      </c>
      <c r="AJ39" s="278">
        <v>3220.93264</v>
      </c>
      <c r="AL39" s="278">
        <v>42241</v>
      </c>
      <c r="AM39" s="184">
        <v>0</v>
      </c>
      <c r="AN39" s="278">
        <v>-1126</v>
      </c>
      <c r="AO39" s="355">
        <v>9766</v>
      </c>
      <c r="AP39" s="344">
        <v>8.86</v>
      </c>
      <c r="AQ39" s="462"/>
      <c r="AS39" s="469">
        <v>9444.8240999999998</v>
      </c>
      <c r="AT39" s="278">
        <v>40756.337509999998</v>
      </c>
      <c r="AU39" s="464"/>
      <c r="AV39" s="346">
        <v>16664.943650000001</v>
      </c>
      <c r="AW39" s="346">
        <v>1488.5136299999999</v>
      </c>
      <c r="AX39" s="346">
        <v>4884.33896</v>
      </c>
      <c r="AY39" s="346">
        <v>23037.79624</v>
      </c>
      <c r="AZ39" s="346">
        <v>14360.138000000001</v>
      </c>
      <c r="BA39" s="278">
        <v>69.368300000000005</v>
      </c>
      <c r="BB39" s="345">
        <v>757.0690699999999</v>
      </c>
      <c r="BC39" s="278">
        <v>346.11028999999996</v>
      </c>
      <c r="BD39" s="278">
        <v>4.8801099999999993</v>
      </c>
      <c r="BE39" s="346">
        <v>5739.9502400000001</v>
      </c>
      <c r="BG39" s="343">
        <v>5012.3406199999999</v>
      </c>
      <c r="BH39" s="343">
        <v>0</v>
      </c>
      <c r="BI39" s="343">
        <v>0</v>
      </c>
      <c r="BJ39" s="346">
        <v>727.60961999999995</v>
      </c>
      <c r="BK39" s="343">
        <v>-66.379530000000003</v>
      </c>
      <c r="BL39" s="343">
        <v>0</v>
      </c>
      <c r="BM39" s="343">
        <v>0</v>
      </c>
      <c r="BN39" s="346">
        <v>793.98915</v>
      </c>
      <c r="BP39" s="346">
        <v>3194.1817700000001</v>
      </c>
      <c r="BQ39" s="318">
        <v>5575.8130300000003</v>
      </c>
      <c r="BR39" s="278">
        <v>-164.13720999999998</v>
      </c>
      <c r="BS39" s="475">
        <v>-4291.3879900000002</v>
      </c>
      <c r="BT39" s="278">
        <v>3.8816299999999999</v>
      </c>
      <c r="BU39" s="278">
        <v>2241.4248199999997</v>
      </c>
      <c r="BV39" s="345">
        <v>4959.2257199999995</v>
      </c>
      <c r="BX39" s="278">
        <v>41615</v>
      </c>
      <c r="BY39" s="483">
        <v>0</v>
      </c>
      <c r="BZ39" s="483">
        <v>-626</v>
      </c>
      <c r="CA39" s="260"/>
      <c r="CB39" s="347">
        <v>8.9</v>
      </c>
      <c r="CC39" s="486">
        <f t="shared" si="0"/>
        <v>8.9</v>
      </c>
      <c r="CD39" s="287"/>
      <c r="CE39" s="278"/>
      <c r="CF39" s="268"/>
      <c r="CI39" s="158">
        <v>0</v>
      </c>
      <c r="CJ39" s="343">
        <v>13053.647786757001</v>
      </c>
      <c r="CK39" s="343">
        <v>13909.123932986562</v>
      </c>
      <c r="CL39" s="343">
        <v>14322.409690572125</v>
      </c>
      <c r="CM39" s="487">
        <v>14499.348285424972</v>
      </c>
      <c r="CN39" s="487">
        <v>15573.107336825109</v>
      </c>
      <c r="CO39" s="495">
        <v>6.4710000000000001</v>
      </c>
      <c r="CP39" s="299"/>
      <c r="CQ39" s="489">
        <v>0</v>
      </c>
      <c r="CR39" s="489">
        <v>0</v>
      </c>
    </row>
    <row r="40" spans="1:96" x14ac:dyDescent="0.2">
      <c r="A40" s="154">
        <v>140</v>
      </c>
      <c r="B40" s="156" t="s">
        <v>74</v>
      </c>
      <c r="C40" s="337">
        <v>20801</v>
      </c>
      <c r="D40" s="276">
        <v>20.5</v>
      </c>
      <c r="E40" s="185"/>
      <c r="G40" s="278">
        <v>29183.709329999998</v>
      </c>
      <c r="H40" s="278">
        <v>165705.28909999999</v>
      </c>
      <c r="I40" s="278"/>
      <c r="J40" s="278">
        <v>69934.627939999991</v>
      </c>
      <c r="K40" s="278">
        <v>8003.4959400000007</v>
      </c>
      <c r="L40" s="278">
        <v>6055.4853499999999</v>
      </c>
      <c r="M40" s="278">
        <v>83993.609230000002</v>
      </c>
      <c r="N40" s="278">
        <v>65746.255000000005</v>
      </c>
      <c r="O40" s="278">
        <v>35.023110000000003</v>
      </c>
      <c r="P40" s="278">
        <v>438.41989000000001</v>
      </c>
      <c r="Q40" s="278">
        <v>2082.2278300000003</v>
      </c>
      <c r="R40" s="278">
        <v>1160.22766</v>
      </c>
      <c r="S40" s="278">
        <v>13764.11247</v>
      </c>
      <c r="U40" s="278">
        <v>9565.8919999999998</v>
      </c>
      <c r="V40" s="278">
        <v>0</v>
      </c>
      <c r="W40" s="278">
        <v>0</v>
      </c>
      <c r="X40" s="278">
        <v>4198.2204699999993</v>
      </c>
      <c r="Y40" s="278">
        <v>607.83589000000006</v>
      </c>
      <c r="Z40" s="278">
        <v>0</v>
      </c>
      <c r="AA40" s="278">
        <v>979.49793</v>
      </c>
      <c r="AB40" s="278">
        <v>2610.8866499999999</v>
      </c>
      <c r="AD40" s="278">
        <v>20766.074840000001</v>
      </c>
      <c r="AE40" s="157">
        <v>13275.39263</v>
      </c>
      <c r="AF40" s="184">
        <v>-488.71984000000003</v>
      </c>
      <c r="AG40" s="278">
        <v>-17756.782749999998</v>
      </c>
      <c r="AH40" s="278">
        <v>6.1</v>
      </c>
      <c r="AI40" s="184">
        <v>701.84531000000004</v>
      </c>
      <c r="AJ40" s="278">
        <v>24854.241300000002</v>
      </c>
      <c r="AL40" s="278">
        <v>65661.547500000001</v>
      </c>
      <c r="AM40" s="184">
        <v>73.180000000000007</v>
      </c>
      <c r="AN40" s="278">
        <v>-3158.6772000000001</v>
      </c>
      <c r="AO40" s="355">
        <v>20618</v>
      </c>
      <c r="AP40" s="344">
        <v>7.86</v>
      </c>
      <c r="AQ40" s="462"/>
      <c r="AS40" s="469">
        <v>41502.792930000003</v>
      </c>
      <c r="AT40" s="278">
        <v>94706.735220000002</v>
      </c>
      <c r="AU40" s="464"/>
      <c r="AV40" s="346">
        <v>33351.328809999999</v>
      </c>
      <c r="AW40" s="346">
        <v>5653.2475700000005</v>
      </c>
      <c r="AX40" s="346">
        <v>5891.62219</v>
      </c>
      <c r="AY40" s="346">
        <v>44896.19857</v>
      </c>
      <c r="AZ40" s="346">
        <v>23273.756000000001</v>
      </c>
      <c r="BA40" s="278">
        <v>48.40043</v>
      </c>
      <c r="BB40" s="345">
        <v>1697.96606</v>
      </c>
      <c r="BC40" s="278">
        <v>1826.95974</v>
      </c>
      <c r="BD40" s="278">
        <v>201.98828</v>
      </c>
      <c r="BE40" s="346">
        <v>14955.782730000001</v>
      </c>
      <c r="BG40" s="343">
        <v>9919.9265099999993</v>
      </c>
      <c r="BH40" s="343">
        <v>0</v>
      </c>
      <c r="BI40" s="343">
        <v>0</v>
      </c>
      <c r="BJ40" s="346">
        <v>5035.8562199999997</v>
      </c>
      <c r="BK40" s="346">
        <v>747.22660999999994</v>
      </c>
      <c r="BL40" s="343">
        <v>0</v>
      </c>
      <c r="BM40" s="346">
        <v>-1304.4727800000001</v>
      </c>
      <c r="BN40" s="346">
        <v>5593.10239</v>
      </c>
      <c r="BP40" s="346">
        <v>26359.177230000001</v>
      </c>
      <c r="BQ40" s="318">
        <v>17214.476500000001</v>
      </c>
      <c r="BR40" s="278">
        <v>2258.6937699999999</v>
      </c>
      <c r="BS40" s="475">
        <v>-57787.823299999996</v>
      </c>
      <c r="BT40" s="278">
        <v>364.39840000000004</v>
      </c>
      <c r="BU40" s="278">
        <v>10954.57908</v>
      </c>
      <c r="BV40" s="345">
        <v>18876.49869</v>
      </c>
      <c r="BX40" s="278">
        <v>86955.903300000005</v>
      </c>
      <c r="BY40" s="483">
        <v>74.05628999999999</v>
      </c>
      <c r="BZ40" s="483">
        <v>21294.355800000001</v>
      </c>
      <c r="CA40" s="260"/>
      <c r="CB40" s="347">
        <v>7.9</v>
      </c>
      <c r="CC40" s="486">
        <f t="shared" si="0"/>
        <v>7.9</v>
      </c>
      <c r="CD40" s="287"/>
      <c r="CE40" s="278"/>
      <c r="CF40" s="268"/>
      <c r="CI40" s="158">
        <v>0</v>
      </c>
      <c r="CJ40" s="343">
        <v>21497.633395859863</v>
      </c>
      <c r="CK40" s="343">
        <v>22579.140106206574</v>
      </c>
      <c r="CL40" s="343">
        <v>22296.574524764543</v>
      </c>
      <c r="CM40" s="487">
        <v>21630.205816030058</v>
      </c>
      <c r="CN40" s="487">
        <v>23498.812359706102</v>
      </c>
      <c r="CO40" s="495">
        <v>-1342.2739999999999</v>
      </c>
      <c r="CP40" s="299"/>
      <c r="CQ40" s="489">
        <v>27.224619999999998</v>
      </c>
      <c r="CR40" s="489">
        <v>14.36462</v>
      </c>
    </row>
    <row r="41" spans="1:96" x14ac:dyDescent="0.2">
      <c r="A41" s="154">
        <v>142</v>
      </c>
      <c r="B41" s="156" t="s">
        <v>75</v>
      </c>
      <c r="C41" s="337">
        <v>6504</v>
      </c>
      <c r="D41" s="276">
        <v>21.25</v>
      </c>
      <c r="E41" s="185"/>
      <c r="G41" s="278">
        <v>3399.7518999999998</v>
      </c>
      <c r="H41" s="278">
        <v>45375.661780000002</v>
      </c>
      <c r="I41" s="278"/>
      <c r="J41" s="278">
        <v>22108.296059999997</v>
      </c>
      <c r="K41" s="278">
        <v>2010.41968</v>
      </c>
      <c r="L41" s="278">
        <v>3148.7292900000002</v>
      </c>
      <c r="M41" s="278">
        <v>27267.445030000003</v>
      </c>
      <c r="N41" s="278">
        <v>19166.134999999998</v>
      </c>
      <c r="O41" s="278">
        <v>10.60342</v>
      </c>
      <c r="P41" s="278">
        <v>18.329039999999999</v>
      </c>
      <c r="Q41" s="278">
        <v>133.41086999999999</v>
      </c>
      <c r="R41" s="278">
        <v>56.991330000000005</v>
      </c>
      <c r="S41" s="278">
        <v>4526.3640700000005</v>
      </c>
      <c r="U41" s="278">
        <v>2964.2275</v>
      </c>
      <c r="V41" s="278">
        <v>0</v>
      </c>
      <c r="W41" s="278">
        <v>0</v>
      </c>
      <c r="X41" s="278">
        <v>1562.1365700000001</v>
      </c>
      <c r="Y41" s="278">
        <v>-69.828679999999991</v>
      </c>
      <c r="Z41" s="278">
        <v>0</v>
      </c>
      <c r="AA41" s="278">
        <v>0</v>
      </c>
      <c r="AB41" s="278">
        <v>1631.96525</v>
      </c>
      <c r="AD41" s="278">
        <v>7215.2148200000001</v>
      </c>
      <c r="AE41" s="157">
        <v>4431.8437199999998</v>
      </c>
      <c r="AF41" s="184">
        <v>-94.520350000000008</v>
      </c>
      <c r="AG41" s="278">
        <v>-1338.9896999999999</v>
      </c>
      <c r="AH41" s="278">
        <v>84.933999999999997</v>
      </c>
      <c r="AI41" s="184">
        <v>99.018079999999998</v>
      </c>
      <c r="AJ41" s="278">
        <v>6388.7778699999999</v>
      </c>
      <c r="AL41" s="278">
        <v>5924.5590000000002</v>
      </c>
      <c r="AM41" s="184">
        <v>-231.345</v>
      </c>
      <c r="AN41" s="278">
        <v>-862.89599999999996</v>
      </c>
      <c r="AO41" s="355">
        <v>6444</v>
      </c>
      <c r="AP41" s="344">
        <v>8.61</v>
      </c>
      <c r="AQ41" s="462"/>
      <c r="AS41" s="469">
        <v>3419.59238</v>
      </c>
      <c r="AT41" s="278">
        <v>19886.739420000002</v>
      </c>
      <c r="AU41" s="464"/>
      <c r="AV41" s="346">
        <v>11023.381089999999</v>
      </c>
      <c r="AW41" s="346">
        <v>1138.09492</v>
      </c>
      <c r="AX41" s="346">
        <v>3351.0586899999998</v>
      </c>
      <c r="AY41" s="346">
        <v>15512.5347</v>
      </c>
      <c r="AZ41" s="346">
        <v>3999.1840000000002</v>
      </c>
      <c r="BA41" s="278">
        <v>231.51248000000001</v>
      </c>
      <c r="BB41" s="345">
        <v>71.74418</v>
      </c>
      <c r="BC41" s="278">
        <v>134.98292999999998</v>
      </c>
      <c r="BD41" s="278">
        <v>2.6561500000000002</v>
      </c>
      <c r="BE41" s="346">
        <v>3336.6667400000001</v>
      </c>
      <c r="BG41" s="343">
        <v>2456.37131</v>
      </c>
      <c r="BH41" s="343">
        <v>0</v>
      </c>
      <c r="BI41" s="343">
        <v>0</v>
      </c>
      <c r="BJ41" s="346">
        <v>880.29543000000001</v>
      </c>
      <c r="BK41" s="346">
        <v>-69.828679999999991</v>
      </c>
      <c r="BL41" s="343">
        <v>0</v>
      </c>
      <c r="BM41" s="343">
        <v>0</v>
      </c>
      <c r="BN41" s="346">
        <v>950.12410999999997</v>
      </c>
      <c r="BP41" s="346">
        <v>8165.3389299999999</v>
      </c>
      <c r="BQ41" s="318">
        <v>3214.72579</v>
      </c>
      <c r="BR41" s="278">
        <v>-121.94095</v>
      </c>
      <c r="BS41" s="475">
        <v>-2343.74073</v>
      </c>
      <c r="BT41" s="278">
        <v>15</v>
      </c>
      <c r="BU41" s="278">
        <v>771.59749999999997</v>
      </c>
      <c r="BV41" s="345">
        <v>9673.8963999999996</v>
      </c>
      <c r="BX41" s="278">
        <v>5313.7860000000001</v>
      </c>
      <c r="BY41" s="483">
        <v>-301.81299999999999</v>
      </c>
      <c r="BZ41" s="483">
        <v>-610.77300000000002</v>
      </c>
      <c r="CA41" s="260"/>
      <c r="CB41" s="347">
        <v>8.6</v>
      </c>
      <c r="CC41" s="486">
        <f t="shared" si="0"/>
        <v>8.6</v>
      </c>
      <c r="CD41" s="287"/>
      <c r="CE41" s="278"/>
      <c r="CF41" s="268"/>
      <c r="CI41" s="158">
        <v>0</v>
      </c>
      <c r="CJ41" s="343">
        <v>4051.6049366562984</v>
      </c>
      <c r="CK41" s="343">
        <v>4277.5090474053868</v>
      </c>
      <c r="CL41" s="343">
        <v>4460.5687735030824</v>
      </c>
      <c r="CM41" s="487">
        <v>4326.3608399028835</v>
      </c>
      <c r="CN41" s="487">
        <v>5179.2241436330423</v>
      </c>
      <c r="CO41" s="495">
        <v>-664.35699999999997</v>
      </c>
      <c r="CP41" s="299"/>
      <c r="CQ41" s="489">
        <v>0</v>
      </c>
      <c r="CR41" s="489">
        <v>0</v>
      </c>
    </row>
    <row r="42" spans="1:96" x14ac:dyDescent="0.2">
      <c r="A42" s="154">
        <v>143</v>
      </c>
      <c r="B42" s="156" t="s">
        <v>76</v>
      </c>
      <c r="C42" s="337">
        <v>6804</v>
      </c>
      <c r="D42" s="276">
        <v>22</v>
      </c>
      <c r="E42" s="185"/>
      <c r="G42" s="278">
        <v>9095.9414700000016</v>
      </c>
      <c r="H42" s="278">
        <v>55403.091180000003</v>
      </c>
      <c r="I42" s="278"/>
      <c r="J42" s="278">
        <v>22397.927350000002</v>
      </c>
      <c r="K42" s="278">
        <v>2711.6351400000003</v>
      </c>
      <c r="L42" s="278">
        <v>2511.9349300000003</v>
      </c>
      <c r="M42" s="278">
        <v>27621.497420000003</v>
      </c>
      <c r="N42" s="278">
        <v>20777.432000000001</v>
      </c>
      <c r="O42" s="278">
        <v>25.533919999999998</v>
      </c>
      <c r="P42" s="278">
        <v>152.56601000000001</v>
      </c>
      <c r="Q42" s="278">
        <v>184.88567999999998</v>
      </c>
      <c r="R42" s="278">
        <v>10.862959999999999</v>
      </c>
      <c r="S42" s="278">
        <v>2138.77034</v>
      </c>
      <c r="U42" s="278">
        <v>2042.0205800000001</v>
      </c>
      <c r="V42" s="278">
        <v>0</v>
      </c>
      <c r="W42" s="278">
        <v>0</v>
      </c>
      <c r="X42" s="278">
        <v>96.749759999999995</v>
      </c>
      <c r="Y42" s="278">
        <v>1.5443800000000001</v>
      </c>
      <c r="Z42" s="278">
        <v>0</v>
      </c>
      <c r="AA42" s="278">
        <v>0</v>
      </c>
      <c r="AB42" s="278">
        <v>95.205380000000005</v>
      </c>
      <c r="AD42" s="278">
        <v>367.43882000000002</v>
      </c>
      <c r="AE42" s="157">
        <v>0</v>
      </c>
      <c r="AF42" s="184">
        <v>-98.45</v>
      </c>
      <c r="AG42" s="278">
        <v>-3938.8086499999999</v>
      </c>
      <c r="AH42" s="278">
        <v>0</v>
      </c>
      <c r="AI42" s="184">
        <v>0</v>
      </c>
      <c r="AJ42" s="278">
        <v>0</v>
      </c>
      <c r="AL42" s="278">
        <v>27000</v>
      </c>
      <c r="AM42" s="184">
        <v>0</v>
      </c>
      <c r="AN42" s="278">
        <v>0</v>
      </c>
      <c r="AO42" s="355">
        <v>6850</v>
      </c>
      <c r="AP42" s="344">
        <v>9.36</v>
      </c>
      <c r="AQ42" s="462"/>
      <c r="AS42" s="469">
        <v>5136.9696299999996</v>
      </c>
      <c r="AT42" s="278">
        <v>22409.167109999999</v>
      </c>
      <c r="AU42" s="464"/>
      <c r="AV42" s="346">
        <v>11507.89084</v>
      </c>
      <c r="AW42" s="346">
        <v>1868.3668300000002</v>
      </c>
      <c r="AX42" s="346">
        <v>2867.6910099999996</v>
      </c>
      <c r="AY42" s="346">
        <v>16243.94868</v>
      </c>
      <c r="AZ42" s="346">
        <v>3842.7570000000001</v>
      </c>
      <c r="BA42" s="278">
        <v>29.258759999999999</v>
      </c>
      <c r="BB42" s="345">
        <v>569.70943</v>
      </c>
      <c r="BC42" s="278">
        <v>86.247119999999995</v>
      </c>
      <c r="BD42" s="278">
        <v>7.1924899999999994</v>
      </c>
      <c r="BE42" s="346">
        <v>2353.1121600000001</v>
      </c>
      <c r="BG42" s="343">
        <v>3600.7882599999998</v>
      </c>
      <c r="BH42" s="343">
        <v>0</v>
      </c>
      <c r="BI42" s="343">
        <v>0</v>
      </c>
      <c r="BJ42" s="346">
        <v>-1247.6761000000001</v>
      </c>
      <c r="BK42" s="346">
        <v>0</v>
      </c>
      <c r="BL42" s="343">
        <v>0</v>
      </c>
      <c r="BM42" s="343">
        <v>0</v>
      </c>
      <c r="BN42" s="346">
        <v>-1247.6761000000001</v>
      </c>
      <c r="BP42" s="346">
        <v>-880.23727000000008</v>
      </c>
      <c r="BQ42" s="318">
        <v>2134.6372000000001</v>
      </c>
      <c r="BR42" s="278">
        <v>-476.99940000000004</v>
      </c>
      <c r="BS42" s="475">
        <v>-2127.7772</v>
      </c>
      <c r="BT42" s="278">
        <v>0</v>
      </c>
      <c r="BU42" s="278">
        <v>0</v>
      </c>
      <c r="BV42" s="345">
        <v>441.3109</v>
      </c>
      <c r="BX42" s="278">
        <v>27000</v>
      </c>
      <c r="BY42" s="483">
        <v>0</v>
      </c>
      <c r="BZ42" s="483">
        <v>0.59099999999999997</v>
      </c>
      <c r="CA42" s="260"/>
      <c r="CB42" s="347">
        <v>9.4</v>
      </c>
      <c r="CC42" s="486">
        <f t="shared" si="0"/>
        <v>9.4</v>
      </c>
      <c r="CD42" s="287"/>
      <c r="CE42" s="278"/>
      <c r="CF42" s="268"/>
      <c r="CI42" s="158">
        <v>0</v>
      </c>
      <c r="CJ42" s="343">
        <v>2982.686778944269</v>
      </c>
      <c r="CK42" s="343">
        <v>3593.7125278315439</v>
      </c>
      <c r="CL42" s="343">
        <v>3421.1577912252428</v>
      </c>
      <c r="CM42" s="487">
        <v>3571.2455338723789</v>
      </c>
      <c r="CN42" s="487">
        <v>4026.4979130218376</v>
      </c>
      <c r="CO42" s="495">
        <v>-894.19500000000005</v>
      </c>
      <c r="CP42" s="299"/>
      <c r="CQ42" s="489">
        <v>0</v>
      </c>
      <c r="CR42" s="489">
        <v>0</v>
      </c>
    </row>
    <row r="43" spans="1:96" x14ac:dyDescent="0.2">
      <c r="A43" s="154">
        <v>145</v>
      </c>
      <c r="B43" s="156" t="s">
        <v>77</v>
      </c>
      <c r="C43" s="337">
        <v>12369</v>
      </c>
      <c r="D43" s="276">
        <v>21</v>
      </c>
      <c r="E43" s="185"/>
      <c r="G43" s="278">
        <v>11063.58843</v>
      </c>
      <c r="H43" s="278">
        <v>92227.784349999987</v>
      </c>
      <c r="I43" s="278"/>
      <c r="J43" s="278">
        <v>41557.65266</v>
      </c>
      <c r="K43" s="278">
        <v>3220.9711299999999</v>
      </c>
      <c r="L43" s="278">
        <v>3010.9111200000002</v>
      </c>
      <c r="M43" s="278">
        <v>47789.534909999995</v>
      </c>
      <c r="N43" s="278">
        <v>35262.730000000003</v>
      </c>
      <c r="O43" s="278">
        <v>15.90569</v>
      </c>
      <c r="P43" s="278">
        <v>434.30646999999999</v>
      </c>
      <c r="Q43" s="278">
        <v>292.96530999999999</v>
      </c>
      <c r="R43" s="278">
        <v>19.990939999999998</v>
      </c>
      <c r="S43" s="278">
        <v>1806.48846</v>
      </c>
      <c r="U43" s="278">
        <v>3969.7718799999998</v>
      </c>
      <c r="V43" s="278">
        <v>0</v>
      </c>
      <c r="W43" s="278">
        <v>0</v>
      </c>
      <c r="X43" s="278">
        <v>-2163.2834199999998</v>
      </c>
      <c r="Y43" s="278">
        <v>0</v>
      </c>
      <c r="Z43" s="278">
        <v>0</v>
      </c>
      <c r="AA43" s="278">
        <v>0</v>
      </c>
      <c r="AB43" s="278">
        <v>-2163.2834199999998</v>
      </c>
      <c r="AD43" s="278">
        <v>3740.9405899999997</v>
      </c>
      <c r="AE43" s="157">
        <v>843.84623999999997</v>
      </c>
      <c r="AF43" s="184">
        <v>-962.64221999999995</v>
      </c>
      <c r="AG43" s="278">
        <v>-8486.9349199999997</v>
      </c>
      <c r="AH43" s="278">
        <v>56.85125</v>
      </c>
      <c r="AI43" s="184">
        <v>626.19170999999994</v>
      </c>
      <c r="AJ43" s="278">
        <v>382.86651000000001</v>
      </c>
      <c r="AL43" s="278">
        <v>65764.391159999999</v>
      </c>
      <c r="AM43" s="184">
        <v>-202.95889000000003</v>
      </c>
      <c r="AN43" s="278">
        <v>4455.26163</v>
      </c>
      <c r="AO43" s="355">
        <v>12343</v>
      </c>
      <c r="AP43" s="344">
        <v>8.36</v>
      </c>
      <c r="AQ43" s="462"/>
      <c r="AS43" s="469">
        <v>9939.4604600000002</v>
      </c>
      <c r="AT43" s="278">
        <v>44791.46153</v>
      </c>
      <c r="AU43" s="464"/>
      <c r="AV43" s="346">
        <v>21226.908780000002</v>
      </c>
      <c r="AW43" s="346">
        <v>1929.13627</v>
      </c>
      <c r="AX43" s="346">
        <v>3009.0271499999999</v>
      </c>
      <c r="AY43" s="346">
        <v>26165.072199999999</v>
      </c>
      <c r="AZ43" s="346">
        <v>15829.194</v>
      </c>
      <c r="BA43" s="278">
        <v>61.084000000000003</v>
      </c>
      <c r="BB43" s="345">
        <v>1479.69382</v>
      </c>
      <c r="BC43" s="278">
        <v>105.91344000000001</v>
      </c>
      <c r="BD43" s="278">
        <v>48.188360000000003</v>
      </c>
      <c r="BE43" s="346">
        <v>5883.6635999999999</v>
      </c>
      <c r="BG43" s="343">
        <v>5373.7398300000004</v>
      </c>
      <c r="BH43" s="346">
        <v>0</v>
      </c>
      <c r="BI43" s="346">
        <v>0</v>
      </c>
      <c r="BJ43" s="346">
        <v>509.92376999999999</v>
      </c>
      <c r="BK43" s="343">
        <v>0</v>
      </c>
      <c r="BL43" s="343">
        <v>0</v>
      </c>
      <c r="BM43" s="343">
        <v>0</v>
      </c>
      <c r="BN43" s="346">
        <v>509.92376999999999</v>
      </c>
      <c r="BP43" s="346">
        <v>4250.8643599999996</v>
      </c>
      <c r="BQ43" s="318">
        <v>5949.8407200000001</v>
      </c>
      <c r="BR43" s="278">
        <v>66.177120000000002</v>
      </c>
      <c r="BS43" s="475">
        <v>-5191.2521200000001</v>
      </c>
      <c r="BT43" s="278">
        <v>0</v>
      </c>
      <c r="BU43" s="278">
        <v>143.45599999999999</v>
      </c>
      <c r="BV43" s="345">
        <v>2489.0713799999999</v>
      </c>
      <c r="BX43" s="278">
        <v>66770.265280000007</v>
      </c>
      <c r="BY43" s="483">
        <v>75.922850000000011</v>
      </c>
      <c r="BZ43" s="483">
        <v>1005.8741199999999</v>
      </c>
      <c r="CA43" s="260"/>
      <c r="CB43" s="347">
        <v>8.4</v>
      </c>
      <c r="CC43" s="486">
        <f t="shared" si="0"/>
        <v>8.4</v>
      </c>
      <c r="CD43" s="287"/>
      <c r="CE43" s="278"/>
      <c r="CF43" s="268"/>
      <c r="CI43" s="158">
        <v>0</v>
      </c>
      <c r="CJ43" s="343">
        <v>13833.257112338011</v>
      </c>
      <c r="CK43" s="343">
        <v>14585.580804198413</v>
      </c>
      <c r="CL43" s="343">
        <v>14784.102495593857</v>
      </c>
      <c r="CM43" s="487">
        <v>15087.320555009534</v>
      </c>
      <c r="CN43" s="487">
        <v>15765.707868381844</v>
      </c>
      <c r="CO43" s="495">
        <v>-508.24700000000001</v>
      </c>
      <c r="CP43" s="299"/>
      <c r="CQ43" s="489">
        <v>63.845879999999994</v>
      </c>
      <c r="CR43" s="489">
        <v>102.28321000000001</v>
      </c>
    </row>
    <row r="44" spans="1:96" x14ac:dyDescent="0.2">
      <c r="A44" s="154">
        <v>146</v>
      </c>
      <c r="B44" s="156" t="s">
        <v>78</v>
      </c>
      <c r="C44" s="337">
        <v>4492</v>
      </c>
      <c r="D44" s="276">
        <v>21</v>
      </c>
      <c r="E44" s="185"/>
      <c r="G44" s="278">
        <v>4710.3971300000003</v>
      </c>
      <c r="H44" s="278">
        <v>45028.275409999995</v>
      </c>
      <c r="I44" s="278"/>
      <c r="J44" s="278">
        <v>13196.27843</v>
      </c>
      <c r="K44" s="278">
        <v>4299.7631799999999</v>
      </c>
      <c r="L44" s="278">
        <v>1555.0956200000001</v>
      </c>
      <c r="M44" s="278">
        <v>19051.13723</v>
      </c>
      <c r="N44" s="278">
        <v>23419.857</v>
      </c>
      <c r="O44" s="278">
        <v>0.36252999999999996</v>
      </c>
      <c r="P44" s="278">
        <v>134.83251999999999</v>
      </c>
      <c r="Q44" s="278">
        <v>465.10065000000003</v>
      </c>
      <c r="R44" s="278">
        <v>223.96614000000002</v>
      </c>
      <c r="S44" s="278">
        <v>2287.6413199999997</v>
      </c>
      <c r="U44" s="278">
        <v>1122.50639</v>
      </c>
      <c r="V44" s="278">
        <v>0</v>
      </c>
      <c r="W44" s="278">
        <v>0</v>
      </c>
      <c r="X44" s="278">
        <v>1165.1349299999999</v>
      </c>
      <c r="Y44" s="278">
        <v>-10.5562</v>
      </c>
      <c r="Z44" s="278">
        <v>0</v>
      </c>
      <c r="AA44" s="278">
        <v>0</v>
      </c>
      <c r="AB44" s="278">
        <v>1175.6911299999999</v>
      </c>
      <c r="AD44" s="278">
        <v>7731.08259</v>
      </c>
      <c r="AE44" s="157">
        <v>1553.2711899999999</v>
      </c>
      <c r="AF44" s="184">
        <v>-734.37013000000002</v>
      </c>
      <c r="AG44" s="278">
        <v>-683.84093000000007</v>
      </c>
      <c r="AH44" s="278">
        <v>0</v>
      </c>
      <c r="AI44" s="184">
        <v>0</v>
      </c>
      <c r="AJ44" s="278">
        <v>9911.7124000000022</v>
      </c>
      <c r="AL44" s="278">
        <v>6880.3359400000018</v>
      </c>
      <c r="AM44" s="184">
        <v>-3.06</v>
      </c>
      <c r="AN44" s="278">
        <v>-1131.07447</v>
      </c>
      <c r="AO44" s="355">
        <v>4406</v>
      </c>
      <c r="AP44" s="344">
        <v>8.36</v>
      </c>
      <c r="AQ44" s="462"/>
      <c r="AS44" s="469">
        <v>3261.5142299999998</v>
      </c>
      <c r="AT44" s="278">
        <v>15895.699269999999</v>
      </c>
      <c r="AU44" s="464"/>
      <c r="AV44" s="346">
        <v>6335.32161</v>
      </c>
      <c r="AW44" s="346">
        <v>2605.22912</v>
      </c>
      <c r="AX44" s="346">
        <v>1577.95607</v>
      </c>
      <c r="AY44" s="346">
        <v>10518.506800000001</v>
      </c>
      <c r="AZ44" s="346">
        <v>4989.3</v>
      </c>
      <c r="BA44" s="278">
        <v>7.08406</v>
      </c>
      <c r="BB44" s="345">
        <v>372.59590999999995</v>
      </c>
      <c r="BC44" s="278">
        <v>581.34032999999999</v>
      </c>
      <c r="BD44" s="278">
        <v>5.1094300000000006</v>
      </c>
      <c r="BE44" s="346">
        <v>3139.0316699999998</v>
      </c>
      <c r="BG44" s="343">
        <v>1368.90463</v>
      </c>
      <c r="BH44" s="343">
        <v>0</v>
      </c>
      <c r="BI44" s="343">
        <v>0</v>
      </c>
      <c r="BJ44" s="346">
        <v>1770.1270400000001</v>
      </c>
      <c r="BK44" s="346">
        <v>-10.5562</v>
      </c>
      <c r="BL44" s="343">
        <v>0</v>
      </c>
      <c r="BM44" s="346">
        <v>0</v>
      </c>
      <c r="BN44" s="346">
        <v>1780.6832400000001</v>
      </c>
      <c r="BP44" s="346">
        <v>9511.7658300000003</v>
      </c>
      <c r="BQ44" s="318">
        <v>3134.0326700000001</v>
      </c>
      <c r="BR44" s="278">
        <v>-4.9989999999999997</v>
      </c>
      <c r="BS44" s="475">
        <v>-311.92134999999996</v>
      </c>
      <c r="BT44" s="278">
        <v>0</v>
      </c>
      <c r="BU44" s="278">
        <v>35</v>
      </c>
      <c r="BV44" s="345">
        <v>10280.872619999998</v>
      </c>
      <c r="BX44" s="278">
        <v>5749.1221000000005</v>
      </c>
      <c r="BY44" s="483">
        <v>0</v>
      </c>
      <c r="BZ44" s="483">
        <v>-1131.2138400000001</v>
      </c>
      <c r="CA44" s="260"/>
      <c r="CB44" s="347">
        <v>8.3999999999999986</v>
      </c>
      <c r="CC44" s="486">
        <f t="shared" si="0"/>
        <v>8.3999999999999986</v>
      </c>
      <c r="CD44" s="287"/>
      <c r="CE44" s="278"/>
      <c r="CF44" s="268"/>
      <c r="CI44" s="158">
        <v>0</v>
      </c>
      <c r="CJ44" s="343">
        <v>3761.9508350944561</v>
      </c>
      <c r="CK44" s="343">
        <v>4189.2624599212668</v>
      </c>
      <c r="CL44" s="343">
        <v>4390.5018217407824</v>
      </c>
      <c r="CM44" s="487">
        <v>4468.6776982088977</v>
      </c>
      <c r="CN44" s="487">
        <v>5311.7153435608279</v>
      </c>
      <c r="CO44" s="495">
        <v>-316.09399999999999</v>
      </c>
      <c r="CP44" s="299"/>
      <c r="CQ44" s="489">
        <v>27.860849999999999</v>
      </c>
      <c r="CR44" s="489">
        <v>54.690860000000001</v>
      </c>
    </row>
    <row r="45" spans="1:96" x14ac:dyDescent="0.2">
      <c r="A45" s="154">
        <v>153</v>
      </c>
      <c r="B45" s="156" t="s">
        <v>79</v>
      </c>
      <c r="C45" s="337">
        <v>25208</v>
      </c>
      <c r="D45" s="276">
        <v>20</v>
      </c>
      <c r="E45" s="185"/>
      <c r="G45" s="278">
        <v>21497.732980000001</v>
      </c>
      <c r="H45" s="278">
        <v>195440.05753999998</v>
      </c>
      <c r="I45" s="278"/>
      <c r="J45" s="278">
        <v>93596.27115</v>
      </c>
      <c r="K45" s="278">
        <v>5503.9052899999997</v>
      </c>
      <c r="L45" s="278">
        <v>12708.48545</v>
      </c>
      <c r="M45" s="278">
        <v>111808.66189</v>
      </c>
      <c r="N45" s="278">
        <v>71035.79101999999</v>
      </c>
      <c r="O45" s="278">
        <v>299.40357</v>
      </c>
      <c r="P45" s="278">
        <v>1211.91119</v>
      </c>
      <c r="Q45" s="278">
        <v>816.46192000000008</v>
      </c>
      <c r="R45" s="278">
        <v>3.2403200000000001</v>
      </c>
      <c r="S45" s="278">
        <v>8856.361789999999</v>
      </c>
      <c r="U45" s="278">
        <v>18128.391210000002</v>
      </c>
      <c r="V45" s="278">
        <v>0</v>
      </c>
      <c r="W45" s="278">
        <v>0</v>
      </c>
      <c r="X45" s="278">
        <v>-9272.0294200000008</v>
      </c>
      <c r="Y45" s="278">
        <v>0</v>
      </c>
      <c r="Z45" s="278">
        <v>0</v>
      </c>
      <c r="AA45" s="278">
        <v>0</v>
      </c>
      <c r="AB45" s="278">
        <v>-9272.0294200000008</v>
      </c>
      <c r="AD45" s="278">
        <v>64450.452459999993</v>
      </c>
      <c r="AE45" s="157">
        <v>6078.7097300000005</v>
      </c>
      <c r="AF45" s="184">
        <v>-2777.6520599999999</v>
      </c>
      <c r="AG45" s="278">
        <v>-19884.14014</v>
      </c>
      <c r="AH45" s="278">
        <v>1398.06223</v>
      </c>
      <c r="AI45" s="184">
        <v>140.53712999999999</v>
      </c>
      <c r="AJ45" s="278">
        <v>7642.5487199999998</v>
      </c>
      <c r="AL45" s="278">
        <v>118798.50430999999</v>
      </c>
      <c r="AM45" s="184">
        <v>-1654.86</v>
      </c>
      <c r="AN45" s="278">
        <v>14699.307769999999</v>
      </c>
      <c r="AO45" s="355">
        <v>24919</v>
      </c>
      <c r="AP45" s="344">
        <v>7.3599999999999994</v>
      </c>
      <c r="AQ45" s="462"/>
      <c r="AS45" s="469">
        <v>20739.757440000001</v>
      </c>
      <c r="AT45" s="278">
        <v>84476.148819999988</v>
      </c>
      <c r="AU45" s="464"/>
      <c r="AV45" s="346">
        <v>42575.796539999996</v>
      </c>
      <c r="AW45" s="346">
        <v>4054.7060299999998</v>
      </c>
      <c r="AX45" s="346">
        <v>11943.088960000001</v>
      </c>
      <c r="AY45" s="346">
        <v>58573.591529999998</v>
      </c>
      <c r="AZ45" s="346">
        <v>23599.267469999999</v>
      </c>
      <c r="BA45" s="278">
        <v>567.48898999999994</v>
      </c>
      <c r="BB45" s="345">
        <v>1851.86727</v>
      </c>
      <c r="BC45" s="278">
        <v>348.74365</v>
      </c>
      <c r="BD45" s="278">
        <v>6.9395299999999995</v>
      </c>
      <c r="BE45" s="346">
        <v>17538.83944</v>
      </c>
      <c r="BG45" s="343">
        <v>12667.895849999999</v>
      </c>
      <c r="BH45" s="343">
        <v>0</v>
      </c>
      <c r="BI45" s="343">
        <v>348.23493000000002</v>
      </c>
      <c r="BJ45" s="346">
        <v>4522.7086600000002</v>
      </c>
      <c r="BK45" s="346">
        <v>0</v>
      </c>
      <c r="BL45" s="346">
        <v>0</v>
      </c>
      <c r="BM45" s="343">
        <v>-17.465630000000001</v>
      </c>
      <c r="BN45" s="346">
        <v>4540.1742899999999</v>
      </c>
      <c r="BP45" s="346">
        <v>68990.626749999996</v>
      </c>
      <c r="BQ45" s="318">
        <v>17089.90294</v>
      </c>
      <c r="BR45" s="278">
        <v>-100.70157</v>
      </c>
      <c r="BS45" s="475">
        <v>-22951.418829999999</v>
      </c>
      <c r="BT45" s="278">
        <v>4782.5838899999999</v>
      </c>
      <c r="BU45" s="278">
        <v>625.63442000000009</v>
      </c>
      <c r="BV45" s="345">
        <v>6371.8825099999995</v>
      </c>
      <c r="BX45" s="278">
        <v>129087.36629999999</v>
      </c>
      <c r="BY45" s="483">
        <v>-1018.725</v>
      </c>
      <c r="BZ45" s="483">
        <v>10288.861999999999</v>
      </c>
      <c r="CA45" s="260"/>
      <c r="CB45" s="347">
        <v>8.6</v>
      </c>
      <c r="CC45" s="486">
        <f t="shared" si="0"/>
        <v>8.6</v>
      </c>
      <c r="CD45" s="287"/>
      <c r="CE45" s="278"/>
      <c r="CF45" s="268"/>
      <c r="CI45" s="158">
        <v>0</v>
      </c>
      <c r="CJ45" s="343">
        <v>17670.671525422658</v>
      </c>
      <c r="CK45" s="343">
        <v>20269.684101272622</v>
      </c>
      <c r="CL45" s="343">
        <v>19653.731425435286</v>
      </c>
      <c r="CM45" s="487">
        <v>19307.00558879094</v>
      </c>
      <c r="CN45" s="487">
        <v>22247.675971429206</v>
      </c>
      <c r="CO45" s="495">
        <v>-706.00800000000004</v>
      </c>
      <c r="CP45" s="299"/>
      <c r="CQ45" s="489">
        <v>53.519460000000002</v>
      </c>
      <c r="CR45" s="489">
        <v>44.945980000000006</v>
      </c>
    </row>
    <row r="46" spans="1:96" x14ac:dyDescent="0.2">
      <c r="A46" s="154">
        <v>148</v>
      </c>
      <c r="B46" s="156" t="s">
        <v>80</v>
      </c>
      <c r="C46" s="337">
        <v>7047</v>
      </c>
      <c r="D46" s="276">
        <v>19</v>
      </c>
      <c r="E46" s="185"/>
      <c r="G46" s="278">
        <v>10816.89839</v>
      </c>
      <c r="H46" s="278">
        <v>66568.796960000007</v>
      </c>
      <c r="I46" s="278"/>
      <c r="J46" s="278">
        <v>22800.539290000001</v>
      </c>
      <c r="K46" s="278">
        <v>4367.3032699999994</v>
      </c>
      <c r="L46" s="278">
        <v>4975.8418300000003</v>
      </c>
      <c r="M46" s="278">
        <v>32146.413940000002</v>
      </c>
      <c r="N46" s="278">
        <v>27756.710999999999</v>
      </c>
      <c r="O46" s="278">
        <v>120.34583000000001</v>
      </c>
      <c r="P46" s="278">
        <v>95.775480000000002</v>
      </c>
      <c r="Q46" s="278">
        <v>1420.03352</v>
      </c>
      <c r="R46" s="278">
        <v>14.240629999999999</v>
      </c>
      <c r="S46" s="278">
        <v>5581.58961</v>
      </c>
      <c r="U46" s="278">
        <v>3859.3604500000001</v>
      </c>
      <c r="V46" s="278">
        <v>0</v>
      </c>
      <c r="W46" s="278">
        <v>0</v>
      </c>
      <c r="X46" s="278">
        <v>1722.2291599999999</v>
      </c>
      <c r="Y46" s="278">
        <v>0</v>
      </c>
      <c r="Z46" s="278">
        <v>0</v>
      </c>
      <c r="AA46" s="278">
        <v>-36.67418</v>
      </c>
      <c r="AB46" s="278">
        <v>1758.9033400000001</v>
      </c>
      <c r="AD46" s="278">
        <v>18909.876789999998</v>
      </c>
      <c r="AE46" s="157">
        <v>5394.6552999999994</v>
      </c>
      <c r="AF46" s="184">
        <v>-186.93414999999999</v>
      </c>
      <c r="AG46" s="278">
        <v>-2874.1193699999999</v>
      </c>
      <c r="AH46" s="278">
        <v>56.959000000000003</v>
      </c>
      <c r="AI46" s="184">
        <v>416.99155999999999</v>
      </c>
      <c r="AJ46" s="278">
        <v>12790.78066</v>
      </c>
      <c r="AL46" s="278">
        <v>11143.249290000002</v>
      </c>
      <c r="AM46" s="184">
        <v>-50.363999999999997</v>
      </c>
      <c r="AN46" s="278">
        <v>-1632.4000900000001</v>
      </c>
      <c r="AO46" s="355">
        <v>7127</v>
      </c>
      <c r="AP46" s="344">
        <v>6.36</v>
      </c>
      <c r="AQ46" s="462"/>
      <c r="AS46" s="469">
        <v>7981.2244700000001</v>
      </c>
      <c r="AT46" s="278">
        <v>32972.660129999997</v>
      </c>
      <c r="AU46" s="464"/>
      <c r="AV46" s="346">
        <v>11132.32</v>
      </c>
      <c r="AW46" s="346">
        <v>2391.0464200000001</v>
      </c>
      <c r="AX46" s="346">
        <v>5259.2371399999993</v>
      </c>
      <c r="AY46" s="346">
        <v>18782.60356</v>
      </c>
      <c r="AZ46" s="346">
        <v>10145.673000000001</v>
      </c>
      <c r="BA46" s="278">
        <v>167.46064999999999</v>
      </c>
      <c r="BB46" s="345">
        <v>166.09984</v>
      </c>
      <c r="BC46" s="278">
        <v>1010.72549</v>
      </c>
      <c r="BD46" s="278">
        <v>97.988579999999999</v>
      </c>
      <c r="BE46" s="346">
        <v>4850.9386199999999</v>
      </c>
      <c r="BG46" s="343">
        <v>2616.2047000000002</v>
      </c>
      <c r="BH46" s="343">
        <v>0</v>
      </c>
      <c r="BI46" s="343">
        <v>0</v>
      </c>
      <c r="BJ46" s="346">
        <v>2234.7339200000001</v>
      </c>
      <c r="BK46" s="343">
        <v>0</v>
      </c>
      <c r="BL46" s="346">
        <v>0</v>
      </c>
      <c r="BM46" s="346">
        <v>-117.45277</v>
      </c>
      <c r="BN46" s="346">
        <v>2352.18669</v>
      </c>
      <c r="BP46" s="346">
        <v>21262.063479999997</v>
      </c>
      <c r="BQ46" s="318">
        <v>3861.06736</v>
      </c>
      <c r="BR46" s="278">
        <v>-989.87126000000001</v>
      </c>
      <c r="BS46" s="475">
        <v>-2994.1000899999999</v>
      </c>
      <c r="BT46" s="278">
        <v>0</v>
      </c>
      <c r="BU46" s="278">
        <v>1112.42875</v>
      </c>
      <c r="BV46" s="345">
        <v>12443.90143</v>
      </c>
      <c r="BX46" s="278">
        <v>10159.05917</v>
      </c>
      <c r="BY46" s="483">
        <v>852.54029000000003</v>
      </c>
      <c r="BZ46" s="483">
        <v>-984.19011999999998</v>
      </c>
      <c r="CA46" s="260"/>
      <c r="CB46" s="347">
        <v>6.4</v>
      </c>
      <c r="CC46" s="486">
        <f t="shared" si="0"/>
        <v>6.4</v>
      </c>
      <c r="CD46" s="287"/>
      <c r="CE46" s="278"/>
      <c r="CF46" s="268"/>
      <c r="CI46" s="158">
        <v>0</v>
      </c>
      <c r="CJ46" s="343">
        <v>11313.826405405347</v>
      </c>
      <c r="CK46" s="343">
        <v>12143.620564855184</v>
      </c>
      <c r="CL46" s="343">
        <v>11919.578995160649</v>
      </c>
      <c r="CM46" s="487">
        <v>11901.147879461645</v>
      </c>
      <c r="CN46" s="487">
        <v>12274.78255946102</v>
      </c>
      <c r="CO46" s="495">
        <v>-895.55700000000002</v>
      </c>
      <c r="CP46" s="299"/>
      <c r="CQ46" s="489">
        <v>0</v>
      </c>
      <c r="CR46" s="489">
        <v>0</v>
      </c>
    </row>
    <row r="47" spans="1:96" x14ac:dyDescent="0.2">
      <c r="A47" s="154">
        <v>149</v>
      </c>
      <c r="B47" s="156" t="s">
        <v>81</v>
      </c>
      <c r="C47" s="337">
        <v>5384</v>
      </c>
      <c r="D47" s="276">
        <v>20.75</v>
      </c>
      <c r="E47" s="185"/>
      <c r="G47" s="278">
        <v>6186.8629700000001</v>
      </c>
      <c r="H47" s="278">
        <v>40880.885840000003</v>
      </c>
      <c r="I47" s="278"/>
      <c r="J47" s="278">
        <v>24404.091690000001</v>
      </c>
      <c r="K47" s="278">
        <v>2031.23404</v>
      </c>
      <c r="L47" s="278">
        <v>3024.8802599999999</v>
      </c>
      <c r="M47" s="278">
        <v>29460.205989999999</v>
      </c>
      <c r="N47" s="278">
        <v>8451.1720000000005</v>
      </c>
      <c r="O47" s="278">
        <v>3.5373800000000002</v>
      </c>
      <c r="P47" s="278">
        <v>157.5455</v>
      </c>
      <c r="Q47" s="278">
        <v>59.890099999999997</v>
      </c>
      <c r="R47" s="278">
        <v>4.4226299999999998</v>
      </c>
      <c r="S47" s="278">
        <v>3126.24827</v>
      </c>
      <c r="U47" s="278">
        <v>2248.07377</v>
      </c>
      <c r="V47" s="278">
        <v>0</v>
      </c>
      <c r="W47" s="278">
        <v>0</v>
      </c>
      <c r="X47" s="278">
        <v>878.17449999999997</v>
      </c>
      <c r="Y47" s="278">
        <v>2942.1961900000001</v>
      </c>
      <c r="Z47" s="278">
        <v>-2335.018</v>
      </c>
      <c r="AA47" s="278">
        <v>0</v>
      </c>
      <c r="AB47" s="278">
        <v>270.99630999999999</v>
      </c>
      <c r="AD47" s="278">
        <v>8649.5373</v>
      </c>
      <c r="AE47" s="157">
        <v>2781.5340699999997</v>
      </c>
      <c r="AF47" s="184">
        <v>-344.71420000000001</v>
      </c>
      <c r="AG47" s="278">
        <v>-11215.908949999999</v>
      </c>
      <c r="AH47" s="278">
        <v>121.26</v>
      </c>
      <c r="AI47" s="184">
        <v>423.72307000000001</v>
      </c>
      <c r="AJ47" s="278">
        <v>3786.6906099999997</v>
      </c>
      <c r="AL47" s="278">
        <v>22945.119999999999</v>
      </c>
      <c r="AM47" s="184">
        <v>4.38931</v>
      </c>
      <c r="AN47" s="278">
        <v>7814.8040000000001</v>
      </c>
      <c r="AO47" s="355">
        <v>5379</v>
      </c>
      <c r="AP47" s="344">
        <v>8.1099999999999977</v>
      </c>
      <c r="AQ47" s="462"/>
      <c r="AS47" s="469">
        <v>4013.1512499999999</v>
      </c>
      <c r="AT47" s="278">
        <v>19783.064140000002</v>
      </c>
      <c r="AU47" s="464"/>
      <c r="AV47" s="346">
        <v>11997.341</v>
      </c>
      <c r="AW47" s="346">
        <v>1140.16463</v>
      </c>
      <c r="AX47" s="346">
        <v>3169.02709</v>
      </c>
      <c r="AY47" s="346">
        <v>16306.532720000001</v>
      </c>
      <c r="AZ47" s="346">
        <v>2348.4949999999999</v>
      </c>
      <c r="BA47" s="278">
        <v>9.742799999999999</v>
      </c>
      <c r="BB47" s="345">
        <v>751.64755000000002</v>
      </c>
      <c r="BC47" s="278">
        <v>11.99014</v>
      </c>
      <c r="BD47" s="278">
        <v>3.0134699999999999</v>
      </c>
      <c r="BE47" s="346">
        <v>2262.8607499999998</v>
      </c>
      <c r="BG47" s="343">
        <v>2570.3811000000001</v>
      </c>
      <c r="BH47" s="346">
        <v>0</v>
      </c>
      <c r="BI47" s="346">
        <v>0</v>
      </c>
      <c r="BJ47" s="346">
        <v>-307.52034999999995</v>
      </c>
      <c r="BK47" s="343">
        <v>2258.8699100000003</v>
      </c>
      <c r="BL47" s="343">
        <v>-2835.018</v>
      </c>
      <c r="BM47" s="343">
        <v>0</v>
      </c>
      <c r="BN47" s="346">
        <v>268.62774000000002</v>
      </c>
      <c r="BP47" s="346">
        <v>8918.1650399999999</v>
      </c>
      <c r="BQ47" s="318">
        <v>2165.1677100000002</v>
      </c>
      <c r="BR47" s="278">
        <v>-97.693039999999996</v>
      </c>
      <c r="BS47" s="475">
        <v>-12515.218869999999</v>
      </c>
      <c r="BT47" s="278">
        <v>898.52280000000007</v>
      </c>
      <c r="BU47" s="278">
        <v>107.8</v>
      </c>
      <c r="BV47" s="345">
        <v>735.24012000000005</v>
      </c>
      <c r="BX47" s="278">
        <v>30775.317999999999</v>
      </c>
      <c r="BY47" s="483">
        <v>6.6793900000000006</v>
      </c>
      <c r="BZ47" s="483">
        <v>7830.1980000000003</v>
      </c>
      <c r="CA47" s="260"/>
      <c r="CB47" s="347">
        <v>8.1000000000000014</v>
      </c>
      <c r="CC47" s="486">
        <f t="shared" si="0"/>
        <v>8.1000000000000014</v>
      </c>
      <c r="CD47" s="287"/>
      <c r="CE47" s="278"/>
      <c r="CF47" s="268"/>
      <c r="CG47" s="266"/>
      <c r="CI47" s="158">
        <v>0</v>
      </c>
      <c r="CJ47" s="343">
        <v>2369.9050591268569</v>
      </c>
      <c r="CK47" s="343">
        <v>2467.2854097893774</v>
      </c>
      <c r="CL47" s="343">
        <v>2089.3359570021662</v>
      </c>
      <c r="CM47" s="487">
        <v>2110.4046858610145</v>
      </c>
      <c r="CN47" s="487">
        <v>2070.4144707971218</v>
      </c>
      <c r="CO47" s="495">
        <v>-1401.1559999999999</v>
      </c>
      <c r="CP47" s="299"/>
      <c r="CQ47" s="489">
        <v>7.4337999999999997</v>
      </c>
      <c r="CR47" s="489">
        <v>110.67400000000001</v>
      </c>
    </row>
    <row r="48" spans="1:96" x14ac:dyDescent="0.2">
      <c r="A48" s="154">
        <v>151</v>
      </c>
      <c r="B48" s="156" t="s">
        <v>82</v>
      </c>
      <c r="C48" s="337">
        <v>1852</v>
      </c>
      <c r="D48" s="276">
        <v>22.5</v>
      </c>
      <c r="E48" s="185"/>
      <c r="G48" s="278">
        <v>2025.8916399999998</v>
      </c>
      <c r="H48" s="278">
        <v>16985.190699999999</v>
      </c>
      <c r="I48" s="278"/>
      <c r="J48" s="278">
        <v>5943.6016200000004</v>
      </c>
      <c r="K48" s="278">
        <v>1178.47749</v>
      </c>
      <c r="L48" s="278">
        <v>1004.79883</v>
      </c>
      <c r="M48" s="278">
        <v>8126.8779400000003</v>
      </c>
      <c r="N48" s="278">
        <v>8294.2610000000004</v>
      </c>
      <c r="O48" s="278">
        <v>0</v>
      </c>
      <c r="P48" s="278">
        <v>4.4629799999999999</v>
      </c>
      <c r="Q48" s="278">
        <v>84.20223</v>
      </c>
      <c r="R48" s="278">
        <v>14.916360000000001</v>
      </c>
      <c r="S48" s="278">
        <v>1526.6627699999999</v>
      </c>
      <c r="U48" s="278">
        <v>513.25800000000004</v>
      </c>
      <c r="V48" s="278">
        <v>0</v>
      </c>
      <c r="W48" s="278">
        <v>0</v>
      </c>
      <c r="X48" s="278">
        <v>1013.40477</v>
      </c>
      <c r="Y48" s="278">
        <v>-2.6497899999999999</v>
      </c>
      <c r="Z48" s="278">
        <v>0</v>
      </c>
      <c r="AA48" s="278">
        <v>0</v>
      </c>
      <c r="AB48" s="278">
        <v>1016.05456</v>
      </c>
      <c r="AD48" s="278">
        <v>4049.1113700000001</v>
      </c>
      <c r="AE48" s="157">
        <v>1518.6738300000002</v>
      </c>
      <c r="AF48" s="184">
        <v>-7.9889399999999995</v>
      </c>
      <c r="AG48" s="278">
        <v>-432.56261999999998</v>
      </c>
      <c r="AH48" s="278">
        <v>31.775400000000001</v>
      </c>
      <c r="AI48" s="184">
        <v>11.3849</v>
      </c>
      <c r="AJ48" s="278">
        <v>3566.5392599999996</v>
      </c>
      <c r="AL48" s="278">
        <v>0</v>
      </c>
      <c r="AM48" s="184">
        <v>24.5</v>
      </c>
      <c r="AN48" s="278">
        <v>-387.5</v>
      </c>
      <c r="AO48" s="355">
        <v>1814</v>
      </c>
      <c r="AP48" s="344">
        <v>9.86</v>
      </c>
      <c r="AQ48" s="462"/>
      <c r="AS48" s="469">
        <v>1670.865</v>
      </c>
      <c r="AT48" s="278">
        <v>6149.6297300000006</v>
      </c>
      <c r="AU48" s="464"/>
      <c r="AV48" s="346">
        <v>3042.8685399999999</v>
      </c>
      <c r="AW48" s="346">
        <v>899.54025000000001</v>
      </c>
      <c r="AX48" s="346">
        <v>1149.27432</v>
      </c>
      <c r="AY48" s="346">
        <v>5091.6831099999999</v>
      </c>
      <c r="AZ48" s="346">
        <v>863.52431999999999</v>
      </c>
      <c r="BA48" s="278">
        <v>0</v>
      </c>
      <c r="BB48" s="345">
        <v>0.79625000000000001</v>
      </c>
      <c r="BC48" s="278">
        <v>17.523259999999997</v>
      </c>
      <c r="BD48" s="278">
        <v>16.025600000000001</v>
      </c>
      <c r="BE48" s="346">
        <v>1477.1441100000002</v>
      </c>
      <c r="BG48" s="343">
        <v>1391.4666000000002</v>
      </c>
      <c r="BH48" s="343">
        <v>0</v>
      </c>
      <c r="BI48" s="343">
        <v>51.890209999999996</v>
      </c>
      <c r="BJ48" s="346">
        <v>33.787300000000002</v>
      </c>
      <c r="BK48" s="346">
        <v>-2.6498000000000004</v>
      </c>
      <c r="BL48" s="346">
        <v>0</v>
      </c>
      <c r="BM48" s="343">
        <v>0</v>
      </c>
      <c r="BN48" s="346">
        <v>36.437100000000001</v>
      </c>
      <c r="BP48" s="346">
        <v>4085.5484700000002</v>
      </c>
      <c r="BQ48" s="318">
        <v>1425.2538999999999</v>
      </c>
      <c r="BR48" s="278">
        <v>0</v>
      </c>
      <c r="BS48" s="475">
        <v>-802.94212000000005</v>
      </c>
      <c r="BT48" s="278">
        <v>1.2</v>
      </c>
      <c r="BU48" s="278">
        <v>572.55399999999997</v>
      </c>
      <c r="BV48" s="345">
        <v>3362.9273800000001</v>
      </c>
      <c r="BX48" s="278">
        <v>0</v>
      </c>
      <c r="BY48" s="483">
        <v>18</v>
      </c>
      <c r="BZ48" s="483">
        <v>0</v>
      </c>
      <c r="CA48" s="260"/>
      <c r="CB48" s="347">
        <v>9.8000000000000007</v>
      </c>
      <c r="CC48" s="486">
        <f t="shared" si="0"/>
        <v>9.8000000000000007</v>
      </c>
      <c r="CD48" s="287"/>
      <c r="CE48" s="278"/>
      <c r="CF48" s="268"/>
      <c r="CI48" s="158">
        <v>0</v>
      </c>
      <c r="CJ48" s="343">
        <v>466.46165462332726</v>
      </c>
      <c r="CK48" s="343">
        <v>459.13580795486666</v>
      </c>
      <c r="CL48" s="343">
        <v>374.69672790316088</v>
      </c>
      <c r="CM48" s="487">
        <v>486.16378219221622</v>
      </c>
      <c r="CN48" s="487">
        <v>616.56092390452852</v>
      </c>
      <c r="CO48" s="495">
        <v>-490.04300000000001</v>
      </c>
      <c r="CP48" s="299"/>
      <c r="CQ48" s="489">
        <v>0</v>
      </c>
      <c r="CR48" s="489">
        <v>0</v>
      </c>
    </row>
    <row r="49" spans="1:96" x14ac:dyDescent="0.2">
      <c r="A49" s="154">
        <v>152</v>
      </c>
      <c r="B49" s="156" t="s">
        <v>83</v>
      </c>
      <c r="C49" s="337">
        <v>4406</v>
      </c>
      <c r="D49" s="276">
        <v>21.5</v>
      </c>
      <c r="E49" s="185"/>
      <c r="G49" s="278">
        <v>4273.0923600000006</v>
      </c>
      <c r="H49" s="278">
        <v>33421.188780000004</v>
      </c>
      <c r="I49" s="278"/>
      <c r="J49" s="278">
        <v>15227.50589</v>
      </c>
      <c r="K49" s="278">
        <v>1305.9170200000001</v>
      </c>
      <c r="L49" s="278">
        <v>975.01522</v>
      </c>
      <c r="M49" s="278">
        <v>17508.438129999999</v>
      </c>
      <c r="N49" s="278">
        <v>14864.124</v>
      </c>
      <c r="O49" s="278">
        <v>8.5051699999999997</v>
      </c>
      <c r="P49" s="278">
        <v>12.17154</v>
      </c>
      <c r="Q49" s="278">
        <v>115.56689</v>
      </c>
      <c r="R49" s="278">
        <v>4.6859299999999999</v>
      </c>
      <c r="S49" s="278">
        <v>3331.6803</v>
      </c>
      <c r="U49" s="278">
        <v>1750.7879599999999</v>
      </c>
      <c r="V49" s="278">
        <v>0</v>
      </c>
      <c r="W49" s="278">
        <v>0</v>
      </c>
      <c r="X49" s="278">
        <v>1580.8923400000001</v>
      </c>
      <c r="Y49" s="278">
        <v>0</v>
      </c>
      <c r="Z49" s="278">
        <v>0</v>
      </c>
      <c r="AA49" s="278">
        <v>0</v>
      </c>
      <c r="AB49" s="278">
        <v>1580.8923400000001</v>
      </c>
      <c r="AD49" s="278">
        <v>13690.841369999998</v>
      </c>
      <c r="AE49" s="157">
        <v>3302.0597299999999</v>
      </c>
      <c r="AF49" s="184">
        <v>-29.620570000000001</v>
      </c>
      <c r="AG49" s="278">
        <v>-2922.7705699999997</v>
      </c>
      <c r="AH49" s="278">
        <v>24</v>
      </c>
      <c r="AI49" s="184">
        <v>50.167999999999999</v>
      </c>
      <c r="AJ49" s="278">
        <v>2610.28793</v>
      </c>
      <c r="AL49" s="278">
        <v>2715</v>
      </c>
      <c r="AM49" s="184">
        <v>-14.98832</v>
      </c>
      <c r="AN49" s="278">
        <v>-555</v>
      </c>
      <c r="AO49" s="355">
        <v>4357</v>
      </c>
      <c r="AP49" s="344">
        <v>8.86</v>
      </c>
      <c r="AQ49" s="462"/>
      <c r="AS49" s="469">
        <v>3975.0783300000003</v>
      </c>
      <c r="AT49" s="278">
        <v>14928.56452</v>
      </c>
      <c r="AU49" s="464"/>
      <c r="AV49" s="346">
        <v>7504.6685800000005</v>
      </c>
      <c r="AW49" s="346">
        <v>879.41506000000004</v>
      </c>
      <c r="AX49" s="346">
        <v>986.80237999999997</v>
      </c>
      <c r="AY49" s="346">
        <v>9370.8860199999999</v>
      </c>
      <c r="AZ49" s="346">
        <v>4717.7759999999998</v>
      </c>
      <c r="BA49" s="278">
        <v>9.6382199999999987</v>
      </c>
      <c r="BB49" s="345">
        <v>10.60745</v>
      </c>
      <c r="BC49" s="278">
        <v>27.0425</v>
      </c>
      <c r="BD49" s="278">
        <v>13.01535</v>
      </c>
      <c r="BE49" s="346">
        <v>3148.2337499999999</v>
      </c>
      <c r="BG49" s="343">
        <v>1811.3735300000001</v>
      </c>
      <c r="BH49" s="343">
        <v>0</v>
      </c>
      <c r="BI49" s="343">
        <v>0</v>
      </c>
      <c r="BJ49" s="346">
        <v>1336.86022</v>
      </c>
      <c r="BK49" s="346">
        <v>0</v>
      </c>
      <c r="BL49" s="343">
        <v>0</v>
      </c>
      <c r="BM49" s="343">
        <v>0</v>
      </c>
      <c r="BN49" s="346">
        <v>1336.86022</v>
      </c>
      <c r="BP49" s="346">
        <v>15104.02029</v>
      </c>
      <c r="BQ49" s="318">
        <v>3151.0446200000001</v>
      </c>
      <c r="BR49" s="278">
        <v>2.81087</v>
      </c>
      <c r="BS49" s="475">
        <v>-2655.81131</v>
      </c>
      <c r="BT49" s="278">
        <v>0</v>
      </c>
      <c r="BU49" s="278">
        <v>55.019980000000004</v>
      </c>
      <c r="BV49" s="345">
        <v>1944.0273300000001</v>
      </c>
      <c r="BX49" s="278">
        <v>2335</v>
      </c>
      <c r="BY49" s="483">
        <v>26.981330000000003</v>
      </c>
      <c r="BZ49" s="483">
        <v>-380</v>
      </c>
      <c r="CA49" s="260"/>
      <c r="CB49" s="347">
        <v>9.5</v>
      </c>
      <c r="CC49" s="486">
        <f t="shared" si="0"/>
        <v>9.5</v>
      </c>
      <c r="CD49" s="287"/>
      <c r="CE49" s="278"/>
      <c r="CF49" s="268"/>
      <c r="CI49" s="158">
        <v>0</v>
      </c>
      <c r="CJ49" s="343">
        <v>3955.6923961438133</v>
      </c>
      <c r="CK49" s="343">
        <v>4095.4923936678924</v>
      </c>
      <c r="CL49" s="343">
        <v>3844.9948317394119</v>
      </c>
      <c r="CM49" s="487">
        <v>3995.6056389836813</v>
      </c>
      <c r="CN49" s="487">
        <v>4490.3900820794552</v>
      </c>
      <c r="CO49" s="495">
        <v>-49.179000000000002</v>
      </c>
      <c r="CP49" s="299"/>
      <c r="CQ49" s="489">
        <v>0</v>
      </c>
      <c r="CR49" s="489">
        <v>0</v>
      </c>
    </row>
    <row r="50" spans="1:96" x14ac:dyDescent="0.2">
      <c r="A50" s="154">
        <v>165</v>
      </c>
      <c r="B50" s="156" t="s">
        <v>84</v>
      </c>
      <c r="C50" s="337">
        <v>16280</v>
      </c>
      <c r="D50" s="276">
        <v>21</v>
      </c>
      <c r="E50" s="185"/>
      <c r="G50" s="278">
        <v>19167.077140000001</v>
      </c>
      <c r="H50" s="278">
        <v>115580.7599</v>
      </c>
      <c r="I50" s="278"/>
      <c r="J50" s="278">
        <v>63541.706030000001</v>
      </c>
      <c r="K50" s="278">
        <v>3932.75164</v>
      </c>
      <c r="L50" s="278">
        <v>4053.5121800000002</v>
      </c>
      <c r="M50" s="278">
        <v>71527.969849999994</v>
      </c>
      <c r="N50" s="278">
        <v>31323.244999999999</v>
      </c>
      <c r="O50" s="278">
        <v>2.6967800000000004</v>
      </c>
      <c r="P50" s="278">
        <v>307.95609000000002</v>
      </c>
      <c r="Q50" s="278">
        <v>246.24020000000002</v>
      </c>
      <c r="R50" s="278">
        <v>19.642160000000001</v>
      </c>
      <c r="S50" s="278">
        <v>6743.1374500000002</v>
      </c>
      <c r="U50" s="278">
        <v>6306.9395300000006</v>
      </c>
      <c r="V50" s="278">
        <v>1560.8915500000001</v>
      </c>
      <c r="W50" s="278">
        <v>0</v>
      </c>
      <c r="X50" s="278">
        <v>1997.0894699999999</v>
      </c>
      <c r="Y50" s="278">
        <v>0</v>
      </c>
      <c r="Z50" s="278">
        <v>0</v>
      </c>
      <c r="AA50" s="278">
        <v>0</v>
      </c>
      <c r="AB50" s="278">
        <v>1997.0894699999999</v>
      </c>
      <c r="AD50" s="278">
        <v>6242.8362399999996</v>
      </c>
      <c r="AE50" s="157">
        <v>6359.64642</v>
      </c>
      <c r="AF50" s="184">
        <v>-1944.38258</v>
      </c>
      <c r="AG50" s="278">
        <v>-8451.8430100000005</v>
      </c>
      <c r="AH50" s="278">
        <v>371.83060999999998</v>
      </c>
      <c r="AI50" s="184">
        <v>3620.00567</v>
      </c>
      <c r="AJ50" s="278">
        <v>12265.84267</v>
      </c>
      <c r="AL50" s="278">
        <v>48130.462209999998</v>
      </c>
      <c r="AM50" s="184">
        <v>0</v>
      </c>
      <c r="AN50" s="278">
        <v>-3327.3744100000004</v>
      </c>
      <c r="AO50" s="355">
        <v>16123</v>
      </c>
      <c r="AP50" s="344">
        <v>8.36</v>
      </c>
      <c r="AQ50" s="462"/>
      <c r="AS50" s="469">
        <v>14212.576550000002</v>
      </c>
      <c r="AT50" s="278">
        <v>52666.667030000004</v>
      </c>
      <c r="AU50" s="464"/>
      <c r="AV50" s="346">
        <v>31662.303500000002</v>
      </c>
      <c r="AW50" s="346">
        <v>3051.3200299999999</v>
      </c>
      <c r="AX50" s="346">
        <v>4238.0692099999997</v>
      </c>
      <c r="AY50" s="346">
        <v>38951.692739999999</v>
      </c>
      <c r="AZ50" s="346">
        <v>12270.104499999999</v>
      </c>
      <c r="BA50" s="278">
        <v>87.84366</v>
      </c>
      <c r="BB50" s="345">
        <v>855.32443999999998</v>
      </c>
      <c r="BC50" s="278">
        <v>181.23587000000001</v>
      </c>
      <c r="BD50" s="278">
        <v>10.457739999999999</v>
      </c>
      <c r="BE50" s="346">
        <v>12509.293089999999</v>
      </c>
      <c r="BG50" s="343">
        <v>7685.6292000000003</v>
      </c>
      <c r="BH50" s="343">
        <v>0</v>
      </c>
      <c r="BI50" s="343">
        <v>0</v>
      </c>
      <c r="BJ50" s="346">
        <v>4823.6638899999998</v>
      </c>
      <c r="BK50" s="346">
        <v>0</v>
      </c>
      <c r="BL50" s="346">
        <v>0</v>
      </c>
      <c r="BM50" s="343">
        <v>0</v>
      </c>
      <c r="BN50" s="346">
        <v>4823.6638899999998</v>
      </c>
      <c r="BP50" s="346">
        <v>11066.50013</v>
      </c>
      <c r="BQ50" s="318">
        <v>12299.04509</v>
      </c>
      <c r="BR50" s="278">
        <v>-210.24799999999999</v>
      </c>
      <c r="BS50" s="475">
        <v>-11600.147949999999</v>
      </c>
      <c r="BT50" s="278">
        <v>1546.6593</v>
      </c>
      <c r="BU50" s="278">
        <v>306.05581000000001</v>
      </c>
      <c r="BV50" s="345">
        <v>13268.875099999999</v>
      </c>
      <c r="BX50" s="278">
        <v>49437.143960000001</v>
      </c>
      <c r="BY50" s="483">
        <v>0</v>
      </c>
      <c r="BZ50" s="483">
        <v>1306.68175</v>
      </c>
      <c r="CA50" s="260"/>
      <c r="CB50" s="347">
        <v>8.4</v>
      </c>
      <c r="CC50" s="486">
        <f t="shared" si="0"/>
        <v>8.4</v>
      </c>
      <c r="CD50" s="287"/>
      <c r="CE50" s="278"/>
      <c r="CF50" s="268"/>
      <c r="CI50" s="158">
        <v>0</v>
      </c>
      <c r="CJ50" s="343">
        <v>9709.5102714111181</v>
      </c>
      <c r="CK50" s="343">
        <v>9490.7916998781038</v>
      </c>
      <c r="CL50" s="343">
        <v>8953.0759905771101</v>
      </c>
      <c r="CM50" s="487">
        <v>8580.2811783856596</v>
      </c>
      <c r="CN50" s="487">
        <v>9504.4771694421161</v>
      </c>
      <c r="CO50" s="495">
        <v>-2072.768</v>
      </c>
      <c r="CP50" s="299"/>
      <c r="CQ50" s="489">
        <v>384.26663000000002</v>
      </c>
      <c r="CR50" s="489">
        <v>338.28897999999998</v>
      </c>
    </row>
    <row r="51" spans="1:96" x14ac:dyDescent="0.2">
      <c r="A51" s="154">
        <v>167</v>
      </c>
      <c r="B51" s="156" t="s">
        <v>85</v>
      </c>
      <c r="C51" s="337">
        <v>77513</v>
      </c>
      <c r="D51" s="276">
        <v>20.5</v>
      </c>
      <c r="E51" s="185"/>
      <c r="G51" s="278">
        <v>78266.020900000003</v>
      </c>
      <c r="H51" s="278">
        <v>542713.14925000002</v>
      </c>
      <c r="I51" s="278"/>
      <c r="J51" s="278">
        <v>252224.92500999998</v>
      </c>
      <c r="K51" s="278">
        <v>37901.403920000004</v>
      </c>
      <c r="L51" s="278">
        <v>22957.001820000001</v>
      </c>
      <c r="M51" s="278">
        <v>313083.33075000002</v>
      </c>
      <c r="N51" s="278">
        <v>175267.72700000001</v>
      </c>
      <c r="O51" s="278">
        <v>386.14265999999998</v>
      </c>
      <c r="P51" s="278">
        <v>1245.0076299999998</v>
      </c>
      <c r="Q51" s="278">
        <v>4140.25929</v>
      </c>
      <c r="R51" s="278">
        <v>8275.2560400000002</v>
      </c>
      <c r="S51" s="278">
        <v>24006.172050000001</v>
      </c>
      <c r="U51" s="278">
        <v>33252.990769999997</v>
      </c>
      <c r="V51" s="278">
        <v>0</v>
      </c>
      <c r="W51" s="278">
        <v>0</v>
      </c>
      <c r="X51" s="278">
        <v>-9246.8187200000011</v>
      </c>
      <c r="Y51" s="278">
        <v>-592.78138999999999</v>
      </c>
      <c r="Z51" s="278">
        <v>-1836.1311499999999</v>
      </c>
      <c r="AA51" s="278">
        <v>-3.5</v>
      </c>
      <c r="AB51" s="278">
        <v>-6814.4061799999999</v>
      </c>
      <c r="AD51" s="278">
        <v>24486.61721</v>
      </c>
      <c r="AE51" s="157">
        <v>23861.161250000001</v>
      </c>
      <c r="AF51" s="184">
        <v>-145.01079999999999</v>
      </c>
      <c r="AG51" s="278">
        <v>-40190.143170000003</v>
      </c>
      <c r="AH51" s="278">
        <v>1222.15282</v>
      </c>
      <c r="AI51" s="184">
        <v>1989.7412300000001</v>
      </c>
      <c r="AJ51" s="278">
        <v>122096.49288999999</v>
      </c>
      <c r="AL51" s="278">
        <v>235160.60934999998</v>
      </c>
      <c r="AM51" s="184">
        <v>1010.37474</v>
      </c>
      <c r="AN51" s="278">
        <v>230.82767999999999</v>
      </c>
      <c r="AO51" s="355">
        <v>78062</v>
      </c>
      <c r="AP51" s="344">
        <v>7.86</v>
      </c>
      <c r="AQ51" s="462"/>
      <c r="AS51" s="469">
        <v>77654.32825000002</v>
      </c>
      <c r="AT51" s="278">
        <v>253053.92298</v>
      </c>
      <c r="AU51" s="464"/>
      <c r="AV51" s="346">
        <v>119920.7654</v>
      </c>
      <c r="AW51" s="346">
        <v>27220.884910000001</v>
      </c>
      <c r="AX51" s="346">
        <v>23596.249010000003</v>
      </c>
      <c r="AY51" s="346">
        <v>170737.89932</v>
      </c>
      <c r="AZ51" s="346">
        <v>56313.153389999999</v>
      </c>
      <c r="BA51" s="278">
        <v>1113.01478</v>
      </c>
      <c r="BB51" s="345">
        <v>4621.2673399999994</v>
      </c>
      <c r="BC51" s="278">
        <v>8768.09591</v>
      </c>
      <c r="BD51" s="278">
        <v>2871.1004400000002</v>
      </c>
      <c r="BE51" s="346">
        <v>58329.70723</v>
      </c>
      <c r="BG51" s="343">
        <v>37431.541409999998</v>
      </c>
      <c r="BH51" s="346">
        <v>0</v>
      </c>
      <c r="BI51" s="343">
        <v>0</v>
      </c>
      <c r="BJ51" s="346">
        <v>20898.165820000002</v>
      </c>
      <c r="BK51" s="346">
        <v>5870.3574200000003</v>
      </c>
      <c r="BL51" s="346">
        <v>-6518.0365899999997</v>
      </c>
      <c r="BM51" s="346">
        <v>664.04081999999994</v>
      </c>
      <c r="BN51" s="346">
        <v>20881.804170000003</v>
      </c>
      <c r="BP51" s="346">
        <v>45368.42138</v>
      </c>
      <c r="BQ51" s="318">
        <v>57785.397520000006</v>
      </c>
      <c r="BR51" s="278">
        <v>-544.30971</v>
      </c>
      <c r="BS51" s="475">
        <v>-51180.419070000004</v>
      </c>
      <c r="BT51" s="278">
        <v>3094.61265</v>
      </c>
      <c r="BU51" s="278">
        <v>718.28102999999999</v>
      </c>
      <c r="BV51" s="345">
        <v>110058.96565000001</v>
      </c>
      <c r="BX51" s="278">
        <v>223384.51420999999</v>
      </c>
      <c r="BY51" s="483">
        <v>1329.8846699999999</v>
      </c>
      <c r="BZ51" s="483">
        <v>-11776.095140000001</v>
      </c>
      <c r="CA51" s="260"/>
      <c r="CB51" s="347">
        <v>7.9</v>
      </c>
      <c r="CC51" s="486">
        <f t="shared" si="0"/>
        <v>7.9</v>
      </c>
      <c r="CD51" s="287"/>
      <c r="CE51" s="278"/>
      <c r="CF51" s="268"/>
      <c r="CI51" s="158">
        <v>0</v>
      </c>
      <c r="CJ51" s="343">
        <v>39648.523456286122</v>
      </c>
      <c r="CK51" s="343">
        <v>48488.989316435582</v>
      </c>
      <c r="CL51" s="343">
        <v>52954.626995058752</v>
      </c>
      <c r="CM51" s="487">
        <v>53247.650673656004</v>
      </c>
      <c r="CN51" s="487">
        <v>57920.245350500394</v>
      </c>
      <c r="CO51" s="495">
        <v>-92.259</v>
      </c>
      <c r="CP51" s="299"/>
      <c r="CQ51" s="489">
        <v>5096.10437</v>
      </c>
      <c r="CR51" s="489">
        <v>4289.5063399999999</v>
      </c>
    </row>
    <row r="52" spans="1:96" x14ac:dyDescent="0.2">
      <c r="A52" s="154">
        <v>169</v>
      </c>
      <c r="B52" s="156" t="s">
        <v>86</v>
      </c>
      <c r="C52" s="337">
        <v>4990</v>
      </c>
      <c r="D52" s="276">
        <v>21.249999999999996</v>
      </c>
      <c r="E52" s="185"/>
      <c r="G52" s="278">
        <v>4137.6270800000002</v>
      </c>
      <c r="H52" s="278">
        <v>34811.552689999997</v>
      </c>
      <c r="I52" s="278"/>
      <c r="J52" s="278">
        <v>18819.147800000002</v>
      </c>
      <c r="K52" s="278">
        <v>1471.75621</v>
      </c>
      <c r="L52" s="278">
        <v>1257.2761</v>
      </c>
      <c r="M52" s="278">
        <v>21548.180110000001</v>
      </c>
      <c r="N52" s="278">
        <v>10320.184999999999</v>
      </c>
      <c r="O52" s="278">
        <v>13.668299999999999</v>
      </c>
      <c r="P52" s="278">
        <v>87.031309999999991</v>
      </c>
      <c r="Q52" s="278">
        <v>46.91827</v>
      </c>
      <c r="R52" s="278">
        <v>2.5144499999999996</v>
      </c>
      <c r="S52" s="278">
        <v>1165.4803100000001</v>
      </c>
      <c r="U52" s="278">
        <v>1534.8721</v>
      </c>
      <c r="V52" s="278">
        <v>0</v>
      </c>
      <c r="W52" s="278">
        <v>0</v>
      </c>
      <c r="X52" s="278">
        <v>-369.39178999999996</v>
      </c>
      <c r="Y52" s="278">
        <v>0</v>
      </c>
      <c r="Z52" s="278">
        <v>0</v>
      </c>
      <c r="AA52" s="278">
        <v>0</v>
      </c>
      <c r="AB52" s="278">
        <v>-369.39178999999996</v>
      </c>
      <c r="AD52" s="278">
        <v>9182.5360500000006</v>
      </c>
      <c r="AE52" s="157">
        <v>1163.3982599999999</v>
      </c>
      <c r="AF52" s="184">
        <v>-2.0820500000000002</v>
      </c>
      <c r="AG52" s="278">
        <v>-1950.5994800000001</v>
      </c>
      <c r="AH52" s="278">
        <v>0</v>
      </c>
      <c r="AI52" s="184">
        <v>5.5717499999999998</v>
      </c>
      <c r="AJ52" s="278">
        <v>328.64843999999999</v>
      </c>
      <c r="AL52" s="278">
        <v>10898.188119999999</v>
      </c>
      <c r="AM52" s="184">
        <v>0</v>
      </c>
      <c r="AN52" s="278">
        <v>742.91002000000003</v>
      </c>
      <c r="AO52" s="355">
        <v>4916</v>
      </c>
      <c r="AP52" s="344">
        <v>8.61</v>
      </c>
      <c r="AQ52" s="462"/>
      <c r="AS52" s="469">
        <v>3738.2072200000002</v>
      </c>
      <c r="AT52" s="278">
        <v>15675.84432</v>
      </c>
      <c r="AU52" s="464"/>
      <c r="AV52" s="346">
        <v>9360.9709199999998</v>
      </c>
      <c r="AW52" s="346">
        <v>735.73864000000003</v>
      </c>
      <c r="AX52" s="346">
        <v>1266.82275</v>
      </c>
      <c r="AY52" s="346">
        <v>11363.532310000001</v>
      </c>
      <c r="AZ52" s="346">
        <v>2475.6610000000001</v>
      </c>
      <c r="BA52" s="278">
        <v>14.0924</v>
      </c>
      <c r="BB52" s="345">
        <v>285.56662</v>
      </c>
      <c r="BC52" s="278">
        <v>52.833019999999998</v>
      </c>
      <c r="BD52" s="278">
        <v>28.099919999999997</v>
      </c>
      <c r="BE52" s="346">
        <v>1654.8150900000001</v>
      </c>
      <c r="BG52" s="343">
        <v>1532.35311</v>
      </c>
      <c r="BH52" s="343">
        <v>0</v>
      </c>
      <c r="BI52" s="343">
        <v>0</v>
      </c>
      <c r="BJ52" s="346">
        <v>122.46198</v>
      </c>
      <c r="BK52" s="343">
        <v>0</v>
      </c>
      <c r="BL52" s="343">
        <v>0</v>
      </c>
      <c r="BM52" s="343">
        <v>0</v>
      </c>
      <c r="BN52" s="346">
        <v>122.46198</v>
      </c>
      <c r="BP52" s="346">
        <v>9304.9979700000004</v>
      </c>
      <c r="BQ52" s="318">
        <v>1633.98712</v>
      </c>
      <c r="BR52" s="278">
        <v>-20.827909999999999</v>
      </c>
      <c r="BS52" s="475">
        <v>-1108.21577</v>
      </c>
      <c r="BT52" s="278">
        <v>27</v>
      </c>
      <c r="BU52" s="278">
        <v>36</v>
      </c>
      <c r="BV52" s="345">
        <v>934.51813000000004</v>
      </c>
      <c r="BX52" s="278">
        <v>10946.09814</v>
      </c>
      <c r="BY52" s="483">
        <v>0</v>
      </c>
      <c r="BZ52" s="483">
        <v>47.910019999999996</v>
      </c>
      <c r="CA52" s="260"/>
      <c r="CB52" s="347">
        <v>8.6999999999999993</v>
      </c>
      <c r="CC52" s="486">
        <f t="shared" si="0"/>
        <v>8.6999999999999993</v>
      </c>
      <c r="CD52" s="287"/>
      <c r="CE52" s="278"/>
      <c r="CF52" s="268"/>
      <c r="CI52" s="158">
        <v>0</v>
      </c>
      <c r="CJ52" s="343">
        <v>2541.1449126977968</v>
      </c>
      <c r="CK52" s="343">
        <v>2980.7670692515094</v>
      </c>
      <c r="CL52" s="343">
        <v>2529.2667995147162</v>
      </c>
      <c r="CM52" s="487">
        <v>2522.4210792382019</v>
      </c>
      <c r="CN52" s="487">
        <v>2846.9842392495775</v>
      </c>
      <c r="CO52" s="495">
        <v>-1288.509</v>
      </c>
      <c r="CP52" s="299"/>
      <c r="CQ52" s="489">
        <v>0</v>
      </c>
      <c r="CR52" s="489">
        <v>0</v>
      </c>
    </row>
    <row r="53" spans="1:96" x14ac:dyDescent="0.2">
      <c r="A53" s="154">
        <v>171</v>
      </c>
      <c r="B53" s="156" t="s">
        <v>87</v>
      </c>
      <c r="C53" s="337">
        <v>4540</v>
      </c>
      <c r="D53" s="276">
        <v>21.25</v>
      </c>
      <c r="E53" s="185"/>
      <c r="G53" s="278">
        <v>3960.8456800000004</v>
      </c>
      <c r="H53" s="278">
        <v>35186.611290000001</v>
      </c>
      <c r="I53" s="278"/>
      <c r="J53" s="278">
        <v>16106.006740000001</v>
      </c>
      <c r="K53" s="278">
        <v>2255.3821899999998</v>
      </c>
      <c r="L53" s="278">
        <v>1229.9371799999999</v>
      </c>
      <c r="M53" s="278">
        <v>19591.326109999998</v>
      </c>
      <c r="N53" s="278">
        <v>13611.358</v>
      </c>
      <c r="O53" s="278">
        <v>69.812380000000005</v>
      </c>
      <c r="P53" s="278">
        <v>144.57032000000001</v>
      </c>
      <c r="Q53" s="278">
        <v>250.06025</v>
      </c>
      <c r="R53" s="278">
        <v>371.61190000000005</v>
      </c>
      <c r="S53" s="278">
        <v>1780.6089099999999</v>
      </c>
      <c r="U53" s="278">
        <v>1439.2536699999998</v>
      </c>
      <c r="V53" s="278">
        <v>0</v>
      </c>
      <c r="W53" s="278">
        <v>0</v>
      </c>
      <c r="X53" s="278">
        <v>341.35523999999998</v>
      </c>
      <c r="Y53" s="278">
        <v>-21.047889999999999</v>
      </c>
      <c r="Z53" s="278">
        <v>0</v>
      </c>
      <c r="AA53" s="278">
        <v>0</v>
      </c>
      <c r="AB53" s="278">
        <v>362.40313000000003</v>
      </c>
      <c r="AD53" s="278">
        <v>7878.2284099999997</v>
      </c>
      <c r="AE53" s="157">
        <v>1682.35709</v>
      </c>
      <c r="AF53" s="184">
        <v>-98.251820000000009</v>
      </c>
      <c r="AG53" s="278">
        <v>-1798.2900400000001</v>
      </c>
      <c r="AH53" s="278">
        <v>32.896000000000001</v>
      </c>
      <c r="AI53" s="184">
        <v>185.96299999999999</v>
      </c>
      <c r="AJ53" s="278">
        <v>14133.267609999999</v>
      </c>
      <c r="AL53" s="278">
        <v>20421.748400000004</v>
      </c>
      <c r="AM53" s="184">
        <v>0</v>
      </c>
      <c r="AN53" s="278">
        <v>-1744.7323200000001</v>
      </c>
      <c r="AO53" s="355">
        <v>4590</v>
      </c>
      <c r="AP53" s="344">
        <v>8.61</v>
      </c>
      <c r="AQ53" s="462"/>
      <c r="AS53" s="469">
        <v>3725.94965</v>
      </c>
      <c r="AT53" s="278">
        <v>14727.636909999999</v>
      </c>
      <c r="AU53" s="464"/>
      <c r="AV53" s="346">
        <v>7984.5252300000002</v>
      </c>
      <c r="AW53" s="346">
        <v>1404.5017399999999</v>
      </c>
      <c r="AX53" s="346">
        <v>1227.07286</v>
      </c>
      <c r="AY53" s="346">
        <v>10616.099829999999</v>
      </c>
      <c r="AZ53" s="346">
        <v>2635.0189999999998</v>
      </c>
      <c r="BA53" s="278">
        <v>83.62997</v>
      </c>
      <c r="BB53" s="345">
        <v>412.95835999999997</v>
      </c>
      <c r="BC53" s="278">
        <v>401.95267999999999</v>
      </c>
      <c r="BD53" s="278">
        <v>89.006690000000006</v>
      </c>
      <c r="BE53" s="346">
        <v>2233.0491699999998</v>
      </c>
      <c r="BG53" s="343">
        <v>1927.9461899999999</v>
      </c>
      <c r="BH53" s="343">
        <v>0</v>
      </c>
      <c r="BI53" s="346">
        <v>0</v>
      </c>
      <c r="BJ53" s="346">
        <v>305.10298</v>
      </c>
      <c r="BK53" s="346">
        <v>29.882819999999999</v>
      </c>
      <c r="BL53" s="346">
        <v>-70</v>
      </c>
      <c r="BM53" s="343">
        <v>0</v>
      </c>
      <c r="BN53" s="346">
        <v>345.22015999999996</v>
      </c>
      <c r="BP53" s="346">
        <v>8111.44427</v>
      </c>
      <c r="BQ53" s="318">
        <v>2354.7680699999996</v>
      </c>
      <c r="BR53" s="278">
        <v>121.71889999999999</v>
      </c>
      <c r="BS53" s="475">
        <v>-1242.12004</v>
      </c>
      <c r="BT53" s="278">
        <v>119</v>
      </c>
      <c r="BU53" s="278">
        <v>278.64999999999998</v>
      </c>
      <c r="BV53" s="345">
        <v>9469.3612899999989</v>
      </c>
      <c r="BX53" s="278">
        <v>17145.45608</v>
      </c>
      <c r="BY53" s="483">
        <v>68.456670000000003</v>
      </c>
      <c r="BZ53" s="483">
        <v>-3276.29232</v>
      </c>
      <c r="CA53" s="260"/>
      <c r="CB53" s="347">
        <v>8.6</v>
      </c>
      <c r="CC53" s="486">
        <f t="shared" si="0"/>
        <v>8.6</v>
      </c>
      <c r="CD53" s="287"/>
      <c r="CE53" s="278"/>
      <c r="CF53" s="268"/>
      <c r="CI53" s="158">
        <v>0</v>
      </c>
      <c r="CJ53" s="343">
        <v>2481.8654628438226</v>
      </c>
      <c r="CK53" s="343">
        <v>3194.5869516560324</v>
      </c>
      <c r="CL53" s="343">
        <v>3477.030046937351</v>
      </c>
      <c r="CM53" s="487">
        <v>3490.9823158807021</v>
      </c>
      <c r="CN53" s="487">
        <v>4022.6827610810919</v>
      </c>
      <c r="CO53" s="495">
        <v>-64.659000000000006</v>
      </c>
      <c r="CP53" s="299"/>
      <c r="CQ53" s="489">
        <v>0</v>
      </c>
      <c r="CR53" s="489">
        <v>0</v>
      </c>
    </row>
    <row r="54" spans="1:96" x14ac:dyDescent="0.2">
      <c r="A54" s="154">
        <v>172</v>
      </c>
      <c r="B54" s="156" t="s">
        <v>88</v>
      </c>
      <c r="C54" s="337">
        <v>4171</v>
      </c>
      <c r="D54" s="276">
        <v>21</v>
      </c>
      <c r="E54" s="185"/>
      <c r="G54" s="278">
        <v>5036.0636500000001</v>
      </c>
      <c r="H54" s="278">
        <v>38530.608780000002</v>
      </c>
      <c r="I54" s="278"/>
      <c r="J54" s="278">
        <v>11988.418439999999</v>
      </c>
      <c r="K54" s="278">
        <v>2356.4666699999998</v>
      </c>
      <c r="L54" s="278">
        <v>1853.4789699999999</v>
      </c>
      <c r="M54" s="278">
        <v>16198.364079999999</v>
      </c>
      <c r="N54" s="278">
        <v>17272.183410000001</v>
      </c>
      <c r="O54" s="278">
        <v>16.240839999999999</v>
      </c>
      <c r="P54" s="278">
        <v>320.49734000000001</v>
      </c>
      <c r="Q54" s="278">
        <v>314.27924999999999</v>
      </c>
      <c r="R54" s="278">
        <v>9.091899999999999</v>
      </c>
      <c r="S54" s="278">
        <v>37.826889999999999</v>
      </c>
      <c r="U54" s="278">
        <v>1308.58987</v>
      </c>
      <c r="V54" s="278">
        <v>27.45176</v>
      </c>
      <c r="W54" s="278">
        <v>0</v>
      </c>
      <c r="X54" s="278">
        <v>-1243.31122</v>
      </c>
      <c r="Y54" s="278">
        <v>-6.3632399999999993</v>
      </c>
      <c r="Z54" s="278">
        <v>0</v>
      </c>
      <c r="AA54" s="278">
        <v>0</v>
      </c>
      <c r="AB54" s="278">
        <v>-1236.9479799999999</v>
      </c>
      <c r="AD54" s="278">
        <v>2924.4253199999998</v>
      </c>
      <c r="AE54" s="157">
        <v>134.18965</v>
      </c>
      <c r="AF54" s="184">
        <v>68.911000000000001</v>
      </c>
      <c r="AG54" s="278">
        <v>-2898.7571800000001</v>
      </c>
      <c r="AH54" s="278">
        <v>0</v>
      </c>
      <c r="AI54" s="184">
        <v>39.9</v>
      </c>
      <c r="AJ54" s="278">
        <v>1653.7610500000001</v>
      </c>
      <c r="AL54" s="278">
        <v>18158.025000000001</v>
      </c>
      <c r="AM54" s="184">
        <v>6.6666699999999999</v>
      </c>
      <c r="AN54" s="278">
        <v>2265.1120000000001</v>
      </c>
      <c r="AO54" s="355">
        <v>4079</v>
      </c>
      <c r="AP54" s="344">
        <v>8.3599999999999977</v>
      </c>
      <c r="AQ54" s="462"/>
      <c r="AS54" s="469">
        <v>4124.3181500000001</v>
      </c>
      <c r="AT54" s="278">
        <v>14107.56194</v>
      </c>
      <c r="AU54" s="464"/>
      <c r="AV54" s="346">
        <v>6142.9889699999994</v>
      </c>
      <c r="AW54" s="346">
        <v>1405.33755</v>
      </c>
      <c r="AX54" s="346">
        <v>1862.6998700000001</v>
      </c>
      <c r="AY54" s="346">
        <v>9411.0263900000009</v>
      </c>
      <c r="AZ54" s="346">
        <v>2400.7766000000001</v>
      </c>
      <c r="BA54" s="278">
        <v>4.3368000000000002</v>
      </c>
      <c r="BB54" s="345">
        <v>492.28296999999998</v>
      </c>
      <c r="BC54" s="278">
        <v>231.88415000000001</v>
      </c>
      <c r="BD54" s="278">
        <v>4.1251000000000007</v>
      </c>
      <c r="BE54" s="346">
        <v>1584.56987</v>
      </c>
      <c r="BG54" s="343">
        <v>1405.5334399999999</v>
      </c>
      <c r="BH54" s="346">
        <v>18.872700000000002</v>
      </c>
      <c r="BI54" s="346">
        <v>0</v>
      </c>
      <c r="BJ54" s="346">
        <v>197.90913</v>
      </c>
      <c r="BK54" s="346">
        <v>-6.3632399999999993</v>
      </c>
      <c r="BL54" s="343">
        <v>0</v>
      </c>
      <c r="BM54" s="346">
        <v>0</v>
      </c>
      <c r="BN54" s="346">
        <v>204.27237</v>
      </c>
      <c r="BP54" s="346">
        <v>3128.6978399999998</v>
      </c>
      <c r="BQ54" s="318">
        <v>1561.0711100000001</v>
      </c>
      <c r="BR54" s="278">
        <v>-42.371610000000004</v>
      </c>
      <c r="BS54" s="475">
        <v>-830.14743999999996</v>
      </c>
      <c r="BT54" s="278">
        <v>0</v>
      </c>
      <c r="BU54" s="278">
        <v>44</v>
      </c>
      <c r="BV54" s="345">
        <v>528.85286999999994</v>
      </c>
      <c r="BX54" s="278">
        <v>17946.136999999999</v>
      </c>
      <c r="BY54" s="483">
        <v>15.26667</v>
      </c>
      <c r="BZ54" s="483">
        <v>-211.88800000000001</v>
      </c>
      <c r="CA54" s="260"/>
      <c r="CB54" s="347">
        <v>9</v>
      </c>
      <c r="CC54" s="486">
        <f t="shared" si="0"/>
        <v>9</v>
      </c>
      <c r="CD54" s="287"/>
      <c r="CE54" s="278"/>
      <c r="CF54" s="268"/>
      <c r="CI54" s="158">
        <v>0</v>
      </c>
      <c r="CJ54" s="343">
        <v>3312.2849385543263</v>
      </c>
      <c r="CK54" s="343">
        <v>3728.9791138399319</v>
      </c>
      <c r="CL54" s="343">
        <v>3561.1859502843749</v>
      </c>
      <c r="CM54" s="487">
        <v>3534.1720118546768</v>
      </c>
      <c r="CN54" s="487">
        <v>3981.6107911715098</v>
      </c>
      <c r="CO54" s="495">
        <v>614.58199999999999</v>
      </c>
      <c r="CP54" s="299"/>
      <c r="CQ54" s="489">
        <v>60.893680000000003</v>
      </c>
      <c r="CR54" s="489">
        <v>16.197790000000001</v>
      </c>
    </row>
    <row r="55" spans="1:96" ht="12.75" x14ac:dyDescent="0.2">
      <c r="A55" s="154">
        <v>176</v>
      </c>
      <c r="B55" s="156" t="s">
        <v>89</v>
      </c>
      <c r="C55" s="337">
        <v>4352</v>
      </c>
      <c r="D55" s="276">
        <v>20.75</v>
      </c>
      <c r="E55" s="185"/>
      <c r="G55" s="278">
        <v>6305.8483699999997</v>
      </c>
      <c r="H55" s="278">
        <v>41795.78802</v>
      </c>
      <c r="I55" s="278"/>
      <c r="J55" s="278">
        <v>11416.187099999999</v>
      </c>
      <c r="K55" s="278">
        <v>2667.8857200000002</v>
      </c>
      <c r="L55" s="278">
        <v>1288.37823</v>
      </c>
      <c r="M55" s="278">
        <v>15372.451050000001</v>
      </c>
      <c r="N55" s="278">
        <v>22133.221000000001</v>
      </c>
      <c r="O55" s="278">
        <v>64.26361</v>
      </c>
      <c r="P55" s="278">
        <v>34.735349999999997</v>
      </c>
      <c r="Q55" s="278">
        <v>366.21686</v>
      </c>
      <c r="R55" s="278">
        <v>1.5250999999999999</v>
      </c>
      <c r="S55" s="278">
        <v>2409.9524200000001</v>
      </c>
      <c r="U55" s="278">
        <v>2012.4840099999999</v>
      </c>
      <c r="V55" s="278">
        <v>0</v>
      </c>
      <c r="W55" s="278">
        <v>0</v>
      </c>
      <c r="X55" s="278">
        <v>397.46840999999995</v>
      </c>
      <c r="Y55" s="278">
        <v>-11.333399999999999</v>
      </c>
      <c r="Z55" s="278">
        <v>-355.42464000000001</v>
      </c>
      <c r="AA55" s="278">
        <v>0</v>
      </c>
      <c r="AB55" s="278">
        <v>764.22645</v>
      </c>
      <c r="AD55" s="278">
        <v>12414.838609999999</v>
      </c>
      <c r="AE55" s="157">
        <v>1680.09194</v>
      </c>
      <c r="AF55" s="184">
        <v>-729.86047999999994</v>
      </c>
      <c r="AG55" s="278">
        <v>-1242.0527299999999</v>
      </c>
      <c r="AH55" s="278">
        <v>0</v>
      </c>
      <c r="AI55" s="184">
        <v>29.596769999999999</v>
      </c>
      <c r="AJ55" s="278">
        <v>6629.6085899999998</v>
      </c>
      <c r="AL55" s="278">
        <v>8071.4380000000001</v>
      </c>
      <c r="AM55" s="184">
        <v>40.784999999999997</v>
      </c>
      <c r="AN55" s="278">
        <v>1285.7159999999999</v>
      </c>
      <c r="AO55" s="355">
        <v>4259</v>
      </c>
      <c r="AP55" s="344">
        <v>8.11</v>
      </c>
      <c r="AQ55" s="462"/>
      <c r="AS55" s="469">
        <v>4873.3320700000004</v>
      </c>
      <c r="AT55" s="278">
        <v>14288.32151</v>
      </c>
      <c r="AU55" s="464"/>
      <c r="AV55" s="346">
        <v>5605.3402300000007</v>
      </c>
      <c r="AW55" s="346">
        <v>1552.7474</v>
      </c>
      <c r="AX55" s="346">
        <v>1308.62968</v>
      </c>
      <c r="AY55" s="346">
        <v>8466.71731</v>
      </c>
      <c r="AZ55" s="346">
        <v>3248.5129999999999</v>
      </c>
      <c r="BA55" s="278">
        <v>233.46208999999999</v>
      </c>
      <c r="BB55" s="472">
        <v>27.536279999999998</v>
      </c>
      <c r="BC55" s="278">
        <v>373.26585999999998</v>
      </c>
      <c r="BD55" s="278">
        <v>8.2699999999999996E-3</v>
      </c>
      <c r="BE55" s="346">
        <v>2879.42427</v>
      </c>
      <c r="BG55" s="343">
        <v>1787.50135</v>
      </c>
      <c r="BH55" s="343">
        <v>0</v>
      </c>
      <c r="BI55" s="346">
        <v>0</v>
      </c>
      <c r="BJ55" s="346">
        <v>1091.92292</v>
      </c>
      <c r="BK55" s="346">
        <v>74.340090000000004</v>
      </c>
      <c r="BL55" s="346">
        <v>280</v>
      </c>
      <c r="BM55" s="343">
        <v>0</v>
      </c>
      <c r="BN55" s="346">
        <v>737.58282999999994</v>
      </c>
      <c r="BP55" s="346">
        <v>13152.421439999998</v>
      </c>
      <c r="BQ55" s="318">
        <v>2667.61591</v>
      </c>
      <c r="BR55" s="278">
        <v>-211.80835999999999</v>
      </c>
      <c r="BS55" s="475">
        <v>-969.25466000000006</v>
      </c>
      <c r="BT55" s="278">
        <v>0</v>
      </c>
      <c r="BU55" s="278">
        <v>429</v>
      </c>
      <c r="BV55" s="345">
        <v>6565.3944499999998</v>
      </c>
      <c r="BX55" s="278">
        <v>6620.3119999999999</v>
      </c>
      <c r="BY55" s="483">
        <v>0</v>
      </c>
      <c r="BZ55" s="483">
        <v>-1451.126</v>
      </c>
      <c r="CA55" s="260"/>
      <c r="CB55" s="347">
        <v>8.5</v>
      </c>
      <c r="CC55" s="486">
        <f t="shared" si="0"/>
        <v>8.5</v>
      </c>
      <c r="CD55" s="287"/>
      <c r="CE55" s="278"/>
      <c r="CF55" s="268"/>
      <c r="CI55" s="158">
        <v>0</v>
      </c>
      <c r="CJ55" s="343">
        <v>2160.2995770198863</v>
      </c>
      <c r="CK55" s="343">
        <v>2776.3425709903186</v>
      </c>
      <c r="CL55" s="343">
        <v>2765.603544798254</v>
      </c>
      <c r="CM55" s="487">
        <v>2828.0641331724519</v>
      </c>
      <c r="CN55" s="487">
        <v>3525.0553666318942</v>
      </c>
      <c r="CO55" s="495">
        <v>23.663</v>
      </c>
      <c r="CP55" s="299"/>
      <c r="CQ55" s="489">
        <v>0</v>
      </c>
      <c r="CR55" s="489">
        <v>0</v>
      </c>
    </row>
    <row r="56" spans="1:96" x14ac:dyDescent="0.2">
      <c r="A56" s="154">
        <v>177</v>
      </c>
      <c r="B56" s="156" t="s">
        <v>90</v>
      </c>
      <c r="C56" s="337">
        <v>1768</v>
      </c>
      <c r="D56" s="276">
        <v>21</v>
      </c>
      <c r="E56" s="185"/>
      <c r="G56" s="278">
        <v>1529.6105400000001</v>
      </c>
      <c r="H56" s="278">
        <v>13122.7246</v>
      </c>
      <c r="I56" s="278"/>
      <c r="J56" s="278">
        <v>6024.4715700000006</v>
      </c>
      <c r="K56" s="278">
        <v>1497.2746299999999</v>
      </c>
      <c r="L56" s="278">
        <v>558.81947000000002</v>
      </c>
      <c r="M56" s="278">
        <v>8080.56567</v>
      </c>
      <c r="N56" s="278">
        <v>4759.1239999999998</v>
      </c>
      <c r="O56" s="278">
        <v>3.70885</v>
      </c>
      <c r="P56" s="278">
        <v>26.443300000000001</v>
      </c>
      <c r="Q56" s="278">
        <v>74.198340000000002</v>
      </c>
      <c r="R56" s="278">
        <v>13.271799999999999</v>
      </c>
      <c r="S56" s="278">
        <v>1284.7676999999999</v>
      </c>
      <c r="U56" s="278">
        <v>627.90452000000005</v>
      </c>
      <c r="V56" s="278">
        <v>0</v>
      </c>
      <c r="W56" s="278">
        <v>0</v>
      </c>
      <c r="X56" s="278">
        <v>656.86318000000006</v>
      </c>
      <c r="Y56" s="278">
        <v>-10.57123</v>
      </c>
      <c r="Z56" s="278">
        <v>0</v>
      </c>
      <c r="AA56" s="278">
        <v>0</v>
      </c>
      <c r="AB56" s="278">
        <v>667.43441000000007</v>
      </c>
      <c r="AD56" s="278">
        <v>3716.4786600000002</v>
      </c>
      <c r="AE56" s="157">
        <v>1263.13591</v>
      </c>
      <c r="AF56" s="184">
        <v>-28.766290000000001</v>
      </c>
      <c r="AG56" s="278">
        <v>-227.56062</v>
      </c>
      <c r="AH56" s="278">
        <v>0</v>
      </c>
      <c r="AI56" s="184">
        <v>29</v>
      </c>
      <c r="AJ56" s="278">
        <v>2850.1639500000001</v>
      </c>
      <c r="AL56" s="278">
        <v>2465.9061000000006</v>
      </c>
      <c r="AM56" s="184">
        <v>2</v>
      </c>
      <c r="AN56" s="278">
        <v>-826.88605000000007</v>
      </c>
      <c r="AO56" s="355">
        <v>1708</v>
      </c>
      <c r="AP56" s="344">
        <v>8.3600000000000012</v>
      </c>
      <c r="AQ56" s="462"/>
      <c r="AS56" s="469">
        <v>1955.4753999999998</v>
      </c>
      <c r="AT56" s="278">
        <v>6423.1589599999998</v>
      </c>
      <c r="AU56" s="464"/>
      <c r="AV56" s="346">
        <v>2695.2711300000001</v>
      </c>
      <c r="AW56" s="346">
        <v>1004.1798199999999</v>
      </c>
      <c r="AX56" s="346">
        <v>581.36108999999999</v>
      </c>
      <c r="AY56" s="346">
        <v>4280.8120399999998</v>
      </c>
      <c r="AZ56" s="346">
        <v>870.71</v>
      </c>
      <c r="BA56" s="278">
        <v>44.870690000000003</v>
      </c>
      <c r="BB56" s="345">
        <v>34.867510000000003</v>
      </c>
      <c r="BC56" s="278">
        <v>54.221029999999999</v>
      </c>
      <c r="BD56" s="278">
        <v>14.943709999999999</v>
      </c>
      <c r="BE56" s="346">
        <v>733.11897999999997</v>
      </c>
      <c r="BG56" s="343">
        <v>673.60341000000005</v>
      </c>
      <c r="BH56" s="346">
        <v>0</v>
      </c>
      <c r="BI56" s="343">
        <v>0</v>
      </c>
      <c r="BJ56" s="346">
        <v>59.515569999999997</v>
      </c>
      <c r="BK56" s="346">
        <v>-10.57123</v>
      </c>
      <c r="BL56" s="343">
        <v>0</v>
      </c>
      <c r="BM56" s="343">
        <v>0</v>
      </c>
      <c r="BN56" s="346">
        <v>70.086799999999997</v>
      </c>
      <c r="BP56" s="346">
        <v>3786.5654600000003</v>
      </c>
      <c r="BQ56" s="318">
        <v>733.11897999999997</v>
      </c>
      <c r="BR56" s="278">
        <v>0</v>
      </c>
      <c r="BS56" s="475">
        <v>-236.00807999999998</v>
      </c>
      <c r="BT56" s="278">
        <v>0</v>
      </c>
      <c r="BU56" s="278">
        <v>0</v>
      </c>
      <c r="BV56" s="345">
        <v>2483.62111</v>
      </c>
      <c r="BX56" s="278">
        <v>1839.9691699999998</v>
      </c>
      <c r="BY56" s="483">
        <v>2</v>
      </c>
      <c r="BZ56" s="483">
        <v>-625.93693000000007</v>
      </c>
      <c r="CA56" s="260"/>
      <c r="CB56" s="347">
        <v>8.4</v>
      </c>
      <c r="CC56" s="486">
        <f t="shared" si="0"/>
        <v>8.4</v>
      </c>
      <c r="CD56" s="287"/>
      <c r="CE56" s="278"/>
      <c r="CF56" s="268"/>
      <c r="CI56" s="158">
        <v>0</v>
      </c>
      <c r="CJ56" s="343">
        <v>1124.7472059580168</v>
      </c>
      <c r="CK56" s="343">
        <v>1189.1220363681646</v>
      </c>
      <c r="CL56" s="343">
        <v>662.08793934339235</v>
      </c>
      <c r="CM56" s="487">
        <v>676.97891839763304</v>
      </c>
      <c r="CN56" s="487">
        <v>732.63575549901213</v>
      </c>
      <c r="CO56" s="495">
        <v>-512.18700000000001</v>
      </c>
      <c r="CP56" s="299"/>
      <c r="CQ56" s="489">
        <v>0</v>
      </c>
      <c r="CR56" s="489">
        <v>0</v>
      </c>
    </row>
    <row r="57" spans="1:96" x14ac:dyDescent="0.2">
      <c r="A57" s="154">
        <v>178</v>
      </c>
      <c r="B57" s="156" t="s">
        <v>91</v>
      </c>
      <c r="C57" s="337">
        <v>5769</v>
      </c>
      <c r="D57" s="276">
        <v>20.75</v>
      </c>
      <c r="E57" s="185"/>
      <c r="G57" s="278">
        <v>5856.93246</v>
      </c>
      <c r="H57" s="278">
        <v>51120.106740000003</v>
      </c>
      <c r="I57" s="278"/>
      <c r="J57" s="278">
        <v>16735.321060000002</v>
      </c>
      <c r="K57" s="278">
        <v>3667.1533199999999</v>
      </c>
      <c r="L57" s="278">
        <v>1670.76677</v>
      </c>
      <c r="M57" s="278">
        <v>22073.241149999998</v>
      </c>
      <c r="N57" s="278">
        <v>24053.9</v>
      </c>
      <c r="O57" s="278">
        <v>2.5635500000000002</v>
      </c>
      <c r="P57" s="278">
        <v>161.16860999999997</v>
      </c>
      <c r="Q57" s="278">
        <v>788.10765000000004</v>
      </c>
      <c r="R57" s="278">
        <v>2.38063</v>
      </c>
      <c r="S57" s="278">
        <v>1491.0888300000001</v>
      </c>
      <c r="U57" s="278">
        <v>2333.1623300000001</v>
      </c>
      <c r="V57" s="278">
        <v>0</v>
      </c>
      <c r="W57" s="278">
        <v>0</v>
      </c>
      <c r="X57" s="278">
        <v>-842.07349999999997</v>
      </c>
      <c r="Y57" s="278">
        <v>-15.83333</v>
      </c>
      <c r="Z57" s="278">
        <v>0</v>
      </c>
      <c r="AA57" s="278">
        <v>0</v>
      </c>
      <c r="AB57" s="278">
        <v>-826.24017000000003</v>
      </c>
      <c r="AD57" s="278">
        <v>5680.7721500000007</v>
      </c>
      <c r="AE57" s="157">
        <v>1527.8885299999999</v>
      </c>
      <c r="AF57" s="184">
        <v>36.799699999999994</v>
      </c>
      <c r="AG57" s="278">
        <v>-1564.6218700000002</v>
      </c>
      <c r="AH57" s="278">
        <v>96</v>
      </c>
      <c r="AI57" s="184">
        <v>63.664089999999995</v>
      </c>
      <c r="AJ57" s="278">
        <v>1997.6316899999999</v>
      </c>
      <c r="AL57" s="278">
        <v>17890.734390000001</v>
      </c>
      <c r="AM57" s="184">
        <v>0</v>
      </c>
      <c r="AN57" s="278">
        <v>-1776.00415</v>
      </c>
      <c r="AO57" s="355">
        <v>5734</v>
      </c>
      <c r="AP57" s="344">
        <v>8.11</v>
      </c>
      <c r="AQ57" s="462"/>
      <c r="AS57" s="469">
        <v>4768.0838300000005</v>
      </c>
      <c r="AT57" s="278">
        <v>19813.658719999999</v>
      </c>
      <c r="AU57" s="464"/>
      <c r="AV57" s="346">
        <v>8299.72343</v>
      </c>
      <c r="AW57" s="346">
        <v>1993.8019899999999</v>
      </c>
      <c r="AX57" s="346">
        <v>1682.2318600000001</v>
      </c>
      <c r="AY57" s="346">
        <v>11975.75728</v>
      </c>
      <c r="AZ57" s="346">
        <v>3795.3850000000002</v>
      </c>
      <c r="BA57" s="278">
        <v>27.267910000000001</v>
      </c>
      <c r="BB57" s="345">
        <v>397.83886999999999</v>
      </c>
      <c r="BC57" s="278">
        <v>998.56394999999998</v>
      </c>
      <c r="BD57" s="278">
        <v>3.5454400000000001</v>
      </c>
      <c r="BE57" s="346">
        <v>1350.01494</v>
      </c>
      <c r="BG57" s="343">
        <v>2246.5745499999998</v>
      </c>
      <c r="BH57" s="346">
        <v>0</v>
      </c>
      <c r="BI57" s="346">
        <v>0</v>
      </c>
      <c r="BJ57" s="346">
        <v>-896.55961000000002</v>
      </c>
      <c r="BK57" s="346">
        <v>159.74051</v>
      </c>
      <c r="BL57" s="343">
        <v>-225</v>
      </c>
      <c r="BM57" s="343">
        <v>0</v>
      </c>
      <c r="BN57" s="346">
        <v>-831.30011999999999</v>
      </c>
      <c r="BP57" s="346">
        <v>4849.4720300000008</v>
      </c>
      <c r="BQ57" s="318">
        <v>982.67378000000008</v>
      </c>
      <c r="BR57" s="278">
        <v>-367.34116</v>
      </c>
      <c r="BS57" s="475">
        <v>-1665.5991000000001</v>
      </c>
      <c r="BT57" s="278">
        <v>46.9</v>
      </c>
      <c r="BU57" s="278">
        <v>137.74199999999999</v>
      </c>
      <c r="BV57" s="345">
        <v>763.79594999999995</v>
      </c>
      <c r="BX57" s="278">
        <v>18657.69945</v>
      </c>
      <c r="BY57" s="483">
        <v>0</v>
      </c>
      <c r="BZ57" s="483">
        <v>766.96506000000011</v>
      </c>
      <c r="CA57" s="260"/>
      <c r="CB57" s="347">
        <v>8.1</v>
      </c>
      <c r="CC57" s="486">
        <f t="shared" si="0"/>
        <v>8.1</v>
      </c>
      <c r="CD57" s="287"/>
      <c r="CE57" s="278"/>
      <c r="CF57" s="268"/>
      <c r="CI57" s="158">
        <v>0</v>
      </c>
      <c r="CJ57" s="343">
        <v>4140.6559082134272</v>
      </c>
      <c r="CK57" s="343">
        <v>4442.2849734353113</v>
      </c>
      <c r="CL57" s="343">
        <v>4658.1801303425991</v>
      </c>
      <c r="CM57" s="487">
        <v>4643.3921811079754</v>
      </c>
      <c r="CN57" s="487">
        <v>5599.9307052507729</v>
      </c>
      <c r="CO57" s="495">
        <v>-102.343</v>
      </c>
      <c r="CP57" s="299"/>
      <c r="CQ57" s="489">
        <v>0</v>
      </c>
      <c r="CR57" s="489">
        <v>0</v>
      </c>
    </row>
    <row r="58" spans="1:96" x14ac:dyDescent="0.2">
      <c r="A58" s="154">
        <v>179</v>
      </c>
      <c r="B58" s="156" t="s">
        <v>92</v>
      </c>
      <c r="C58" s="337">
        <v>145887</v>
      </c>
      <c r="D58" s="276">
        <v>20</v>
      </c>
      <c r="E58" s="185"/>
      <c r="G58" s="278">
        <v>204918.42916999999</v>
      </c>
      <c r="H58" s="278">
        <v>1027805.85438</v>
      </c>
      <c r="I58" s="278"/>
      <c r="J58" s="278">
        <v>504072.13729000004</v>
      </c>
      <c r="K58" s="278">
        <v>50727.606749999999</v>
      </c>
      <c r="L58" s="278">
        <v>52254.69887</v>
      </c>
      <c r="M58" s="278">
        <v>607054.44290999998</v>
      </c>
      <c r="N58" s="278">
        <v>220718.092</v>
      </c>
      <c r="O58" s="278">
        <v>6183.8364700000002</v>
      </c>
      <c r="P58" s="278">
        <v>5278.5739000000003</v>
      </c>
      <c r="Q58" s="278">
        <v>4436.3359800000007</v>
      </c>
      <c r="R58" s="278">
        <v>15.605840000000001</v>
      </c>
      <c r="S58" s="278">
        <v>13731.083710000001</v>
      </c>
      <c r="U58" s="278">
        <v>62371.418689999999</v>
      </c>
      <c r="V58" s="278">
        <v>52012.004000000001</v>
      </c>
      <c r="W58" s="278">
        <v>0</v>
      </c>
      <c r="X58" s="278">
        <v>3371.6690199999998</v>
      </c>
      <c r="Y58" s="278">
        <v>-340.44074000000001</v>
      </c>
      <c r="Z58" s="278">
        <v>0</v>
      </c>
      <c r="AA58" s="278">
        <v>6.1606300000000003</v>
      </c>
      <c r="AB58" s="278">
        <v>3705.94913</v>
      </c>
      <c r="AD58" s="278">
        <v>101522.43147</v>
      </c>
      <c r="AE58" s="157">
        <v>-17696.33844</v>
      </c>
      <c r="AF58" s="184">
        <v>-83439.426149999999</v>
      </c>
      <c r="AG58" s="278">
        <v>-91965.509239999999</v>
      </c>
      <c r="AH58" s="278">
        <v>1182.91518</v>
      </c>
      <c r="AI58" s="184">
        <v>107685.74161</v>
      </c>
      <c r="AJ58" s="278">
        <v>36703.443359999997</v>
      </c>
      <c r="AL58" s="278">
        <v>339485.61392999999</v>
      </c>
      <c r="AM58" s="184">
        <v>5827.5005700000002</v>
      </c>
      <c r="AN58" s="278">
        <v>-12794.33628</v>
      </c>
      <c r="AO58" s="355">
        <v>147746</v>
      </c>
      <c r="AP58" s="344">
        <v>7.3599999999999994</v>
      </c>
      <c r="AQ58" s="462"/>
      <c r="AS58" s="469">
        <v>87581.259980000003</v>
      </c>
      <c r="AT58" s="278">
        <v>427217.73783999996</v>
      </c>
      <c r="AU58" s="464"/>
      <c r="AV58" s="346">
        <v>241856.52132</v>
      </c>
      <c r="AW58" s="346">
        <v>35310.819170000002</v>
      </c>
      <c r="AX58" s="346">
        <v>57993.304340000002</v>
      </c>
      <c r="AY58" s="346">
        <v>335160.64483</v>
      </c>
      <c r="AZ58" s="346">
        <v>57907.10383</v>
      </c>
      <c r="BA58" s="278">
        <v>7439.4547300000004</v>
      </c>
      <c r="BB58" s="345">
        <v>5363.2784099999999</v>
      </c>
      <c r="BC58" s="278">
        <v>7998.7669400000004</v>
      </c>
      <c r="BD58" s="278">
        <v>23.152419999999999</v>
      </c>
      <c r="BE58" s="346">
        <v>66362.900869999998</v>
      </c>
      <c r="BG58" s="343">
        <v>56897.845679999999</v>
      </c>
      <c r="BH58" s="346">
        <v>0</v>
      </c>
      <c r="BI58" s="343">
        <v>0</v>
      </c>
      <c r="BJ58" s="346">
        <v>9465.0551899999991</v>
      </c>
      <c r="BK58" s="346">
        <v>-340.44074000000001</v>
      </c>
      <c r="BL58" s="343">
        <v>0</v>
      </c>
      <c r="BM58" s="346">
        <v>-353.53343999999998</v>
      </c>
      <c r="BN58" s="346">
        <v>10159.029369999998</v>
      </c>
      <c r="BP58" s="346">
        <v>111681.12201000001</v>
      </c>
      <c r="BQ58" s="318">
        <v>65650.211360000001</v>
      </c>
      <c r="BR58" s="278">
        <v>-712.68951000000004</v>
      </c>
      <c r="BS58" s="475">
        <v>-73394.986680000002</v>
      </c>
      <c r="BT58" s="278">
        <v>3010.4778799999999</v>
      </c>
      <c r="BU58" s="278">
        <v>5583.5041100000008</v>
      </c>
      <c r="BV58" s="345">
        <v>3756.0507900000002</v>
      </c>
      <c r="BX58" s="278">
        <v>344636.68472000002</v>
      </c>
      <c r="BY58" s="483">
        <v>299.02168999999998</v>
      </c>
      <c r="BZ58" s="483">
        <v>5151.0707899999998</v>
      </c>
      <c r="CA58" s="260"/>
      <c r="CB58" s="347">
        <v>8</v>
      </c>
      <c r="CC58" s="486">
        <f t="shared" si="0"/>
        <v>8</v>
      </c>
      <c r="CD58" s="287"/>
      <c r="CE58" s="278"/>
      <c r="CF58" s="268"/>
      <c r="CI58" s="158">
        <v>0</v>
      </c>
      <c r="CJ58" s="343">
        <v>30058.903126723282</v>
      </c>
      <c r="CK58" s="343">
        <v>48544.369551099822</v>
      </c>
      <c r="CL58" s="343">
        <v>57343.30000890643</v>
      </c>
      <c r="CM58" s="487">
        <v>56713.962162938988</v>
      </c>
      <c r="CN58" s="487">
        <v>60852.523413522635</v>
      </c>
      <c r="CO58" s="495">
        <v>-23015.814999999999</v>
      </c>
      <c r="CP58" s="299"/>
      <c r="CQ58" s="489">
        <v>3519.9812999999999</v>
      </c>
      <c r="CR58" s="489">
        <v>2879.83923</v>
      </c>
    </row>
    <row r="59" spans="1:96" x14ac:dyDescent="0.2">
      <c r="A59" s="154">
        <v>181</v>
      </c>
      <c r="B59" s="156" t="s">
        <v>93</v>
      </c>
      <c r="C59" s="337">
        <v>1683</v>
      </c>
      <c r="D59" s="276">
        <v>22.5</v>
      </c>
      <c r="E59" s="185"/>
      <c r="G59" s="278">
        <v>678.29239000000007</v>
      </c>
      <c r="H59" s="278">
        <v>12239.44961</v>
      </c>
      <c r="I59" s="278"/>
      <c r="J59" s="278">
        <v>5334.1851699999997</v>
      </c>
      <c r="K59" s="278">
        <v>485.02484999999996</v>
      </c>
      <c r="L59" s="278">
        <v>765.8365</v>
      </c>
      <c r="M59" s="278">
        <v>6585.0465199999999</v>
      </c>
      <c r="N59" s="278">
        <v>5706.02</v>
      </c>
      <c r="O59" s="278">
        <v>0</v>
      </c>
      <c r="P59" s="278">
        <v>104.48744000000001</v>
      </c>
      <c r="Q59" s="278">
        <v>15.350379999999999</v>
      </c>
      <c r="R59" s="278">
        <v>40.162010000000002</v>
      </c>
      <c r="S59" s="278">
        <v>600.61023</v>
      </c>
      <c r="U59" s="278">
        <v>1061.35213</v>
      </c>
      <c r="V59" s="278">
        <v>0</v>
      </c>
      <c r="W59" s="278">
        <v>0</v>
      </c>
      <c r="X59" s="278">
        <v>-460.74190000000004</v>
      </c>
      <c r="Y59" s="278">
        <v>0</v>
      </c>
      <c r="Z59" s="278">
        <v>0</v>
      </c>
      <c r="AA59" s="278">
        <v>0</v>
      </c>
      <c r="AB59" s="278">
        <v>-460.74190000000004</v>
      </c>
      <c r="AD59" s="278">
        <v>197.41801000000001</v>
      </c>
      <c r="AE59" s="157">
        <v>619.37923000000001</v>
      </c>
      <c r="AF59" s="184">
        <v>18.768999999999998</v>
      </c>
      <c r="AG59" s="278">
        <v>-5213.6620000000003</v>
      </c>
      <c r="AH59" s="278">
        <v>114.8</v>
      </c>
      <c r="AI59" s="184">
        <v>191.49382999999997</v>
      </c>
      <c r="AJ59" s="278">
        <v>261.29121999999995</v>
      </c>
      <c r="AL59" s="278">
        <v>12102.773640000001</v>
      </c>
      <c r="AM59" s="184">
        <v>-120</v>
      </c>
      <c r="AN59" s="278">
        <v>-602.87896000000001</v>
      </c>
      <c r="AO59" s="355">
        <v>1682</v>
      </c>
      <c r="AP59" s="344">
        <v>9.86</v>
      </c>
      <c r="AQ59" s="462"/>
      <c r="AS59" s="469">
        <v>703.59104000000002</v>
      </c>
      <c r="AT59" s="278">
        <v>4940.47732</v>
      </c>
      <c r="AU59" s="464"/>
      <c r="AV59" s="346">
        <v>2869.0156200000001</v>
      </c>
      <c r="AW59" s="346">
        <v>320.52659999999997</v>
      </c>
      <c r="AX59" s="346">
        <v>729.41681999999992</v>
      </c>
      <c r="AY59" s="346">
        <v>3918.9590400000002</v>
      </c>
      <c r="AZ59" s="346">
        <v>2050.1860000000001</v>
      </c>
      <c r="BA59" s="278">
        <v>0</v>
      </c>
      <c r="BB59" s="345">
        <v>387.6977</v>
      </c>
      <c r="BC59" s="278">
        <v>4.09931</v>
      </c>
      <c r="BD59" s="278">
        <v>11.854010000000001</v>
      </c>
      <c r="BE59" s="346">
        <v>1336.80636</v>
      </c>
      <c r="BG59" s="343">
        <v>915.20256999999992</v>
      </c>
      <c r="BH59" s="343">
        <v>0</v>
      </c>
      <c r="BI59" s="343">
        <v>0</v>
      </c>
      <c r="BJ59" s="346">
        <v>421.60379</v>
      </c>
      <c r="BK59" s="343">
        <v>0</v>
      </c>
      <c r="BL59" s="343">
        <v>0</v>
      </c>
      <c r="BM59" s="343">
        <v>0</v>
      </c>
      <c r="BN59" s="346">
        <v>421.60379</v>
      </c>
      <c r="BP59" s="346">
        <v>619.02179999999998</v>
      </c>
      <c r="BQ59" s="318">
        <v>1350.2505100000001</v>
      </c>
      <c r="BR59" s="278">
        <v>13.44415</v>
      </c>
      <c r="BS59" s="475">
        <v>-287.85659000000004</v>
      </c>
      <c r="BT59" s="278">
        <v>0</v>
      </c>
      <c r="BU59" s="278">
        <v>308.18604999999997</v>
      </c>
      <c r="BV59" s="345">
        <v>550.33657999999991</v>
      </c>
      <c r="BX59" s="278">
        <v>11246.894679999999</v>
      </c>
      <c r="BY59" s="483">
        <v>-67</v>
      </c>
      <c r="BZ59" s="483">
        <v>-855.87896000000001</v>
      </c>
      <c r="CA59" s="260"/>
      <c r="CB59" s="347">
        <v>9.9</v>
      </c>
      <c r="CC59" s="486">
        <f t="shared" si="0"/>
        <v>9.9</v>
      </c>
      <c r="CD59" s="287"/>
      <c r="CE59" s="278"/>
      <c r="CF59" s="268"/>
      <c r="CG59" s="266"/>
      <c r="CI59" s="158">
        <v>0</v>
      </c>
      <c r="CJ59" s="343">
        <v>1809.9214859467165</v>
      </c>
      <c r="CK59" s="343">
        <v>1962.5124528059996</v>
      </c>
      <c r="CL59" s="343">
        <v>2006.848808780192</v>
      </c>
      <c r="CM59" s="487">
        <v>2054.652704921537</v>
      </c>
      <c r="CN59" s="487">
        <v>2273.5515093404097</v>
      </c>
      <c r="CO59" s="495">
        <v>-397.29500000000002</v>
      </c>
      <c r="CP59" s="299"/>
      <c r="CQ59" s="489">
        <v>0</v>
      </c>
      <c r="CR59" s="489">
        <v>0</v>
      </c>
    </row>
    <row r="60" spans="1:96" x14ac:dyDescent="0.2">
      <c r="A60" s="154">
        <v>182</v>
      </c>
      <c r="B60" s="156" t="s">
        <v>94</v>
      </c>
      <c r="C60" s="337">
        <v>19347</v>
      </c>
      <c r="D60" s="276">
        <v>21</v>
      </c>
      <c r="E60" s="185"/>
      <c r="G60" s="278">
        <v>50627.477709999999</v>
      </c>
      <c r="H60" s="278">
        <v>188961.91143000001</v>
      </c>
      <c r="I60" s="278"/>
      <c r="J60" s="278">
        <v>71723.911849999989</v>
      </c>
      <c r="K60" s="278">
        <v>13900.567640000001</v>
      </c>
      <c r="L60" s="278">
        <v>5481.3492300000007</v>
      </c>
      <c r="M60" s="278">
        <v>91105.828720000005</v>
      </c>
      <c r="N60" s="278">
        <v>47272.038999999997</v>
      </c>
      <c r="O60" s="278">
        <v>49.15014</v>
      </c>
      <c r="P60" s="278">
        <v>227.31557999999998</v>
      </c>
      <c r="Q60" s="278">
        <v>703.96187999999995</v>
      </c>
      <c r="R60" s="278">
        <v>9.4969699999999992</v>
      </c>
      <c r="S60" s="278">
        <v>857.3611800000001</v>
      </c>
      <c r="U60" s="278">
        <v>8630.9828800000014</v>
      </c>
      <c r="V60" s="278">
        <v>0</v>
      </c>
      <c r="W60" s="278">
        <v>0</v>
      </c>
      <c r="X60" s="278">
        <v>-7773.6217000000006</v>
      </c>
      <c r="Y60" s="278">
        <v>-246.61126000000002</v>
      </c>
      <c r="Z60" s="278">
        <v>0</v>
      </c>
      <c r="AA60" s="278">
        <v>0</v>
      </c>
      <c r="AB60" s="278">
        <v>-7527.01044</v>
      </c>
      <c r="AD60" s="278">
        <v>-3514.0976300000002</v>
      </c>
      <c r="AE60" s="157">
        <v>37.370849999999997</v>
      </c>
      <c r="AF60" s="184">
        <v>-819.99032999999997</v>
      </c>
      <c r="AG60" s="278">
        <v>-6617.4099400000005</v>
      </c>
      <c r="AH60" s="278">
        <v>22.035</v>
      </c>
      <c r="AI60" s="184">
        <v>2577.9312799999998</v>
      </c>
      <c r="AJ60" s="278">
        <v>6583.3912399999999</v>
      </c>
      <c r="AL60" s="278">
        <v>31663.933979999998</v>
      </c>
      <c r="AM60" s="184">
        <v>-682.13314000000003</v>
      </c>
      <c r="AN60" s="278">
        <v>-3800.92319</v>
      </c>
      <c r="AO60" s="355">
        <v>19182</v>
      </c>
      <c r="AP60" s="344">
        <v>8.36</v>
      </c>
      <c r="AQ60" s="462"/>
      <c r="AS60" s="469">
        <v>21495.622090000001</v>
      </c>
      <c r="AT60" s="278">
        <v>66697.795599999998</v>
      </c>
      <c r="AU60" s="464"/>
      <c r="AV60" s="346">
        <v>32896.440649999997</v>
      </c>
      <c r="AW60" s="346">
        <v>8163.5825100000002</v>
      </c>
      <c r="AX60" s="346">
        <v>6284.0543499999994</v>
      </c>
      <c r="AY60" s="346">
        <v>47344.077509999996</v>
      </c>
      <c r="AZ60" s="346">
        <v>7089.2780000000002</v>
      </c>
      <c r="BA60" s="278">
        <v>156.08189000000002</v>
      </c>
      <c r="BB60" s="345">
        <v>663.03422</v>
      </c>
      <c r="BC60" s="278">
        <v>248.54469</v>
      </c>
      <c r="BD60" s="278">
        <v>11.477870000000001</v>
      </c>
      <c r="BE60" s="346">
        <v>9240.8655600000002</v>
      </c>
      <c r="BG60" s="343">
        <v>8275.6538</v>
      </c>
      <c r="BH60" s="343">
        <v>0</v>
      </c>
      <c r="BI60" s="343">
        <v>0</v>
      </c>
      <c r="BJ60" s="346">
        <v>965.21176000000003</v>
      </c>
      <c r="BK60" s="346">
        <v>-246.61126000000002</v>
      </c>
      <c r="BL60" s="346">
        <v>0</v>
      </c>
      <c r="BM60" s="343">
        <v>0</v>
      </c>
      <c r="BN60" s="346">
        <v>1211.82302</v>
      </c>
      <c r="BP60" s="346">
        <v>-2302.2746099999995</v>
      </c>
      <c r="BQ60" s="318">
        <v>7677.4133099999999</v>
      </c>
      <c r="BR60" s="278">
        <v>-1563.45225</v>
      </c>
      <c r="BS60" s="475">
        <v>-5254.1428900000001</v>
      </c>
      <c r="BT60" s="278">
        <v>52.2</v>
      </c>
      <c r="BU60" s="278">
        <v>3326.2345499999997</v>
      </c>
      <c r="BV60" s="345">
        <v>7268.7507100000003</v>
      </c>
      <c r="BX60" s="278">
        <v>27543.524890000001</v>
      </c>
      <c r="BY60" s="483">
        <v>154.73320000000001</v>
      </c>
      <c r="BZ60" s="483">
        <v>-6423.5242099999996</v>
      </c>
      <c r="CA60" s="260"/>
      <c r="CB60" s="347">
        <v>9.4</v>
      </c>
      <c r="CC60" s="486">
        <f t="shared" si="0"/>
        <v>9.4</v>
      </c>
      <c r="CD60" s="287"/>
      <c r="CE60" s="278"/>
      <c r="CF60" s="268"/>
      <c r="CI60" s="158">
        <v>0</v>
      </c>
      <c r="CJ60" s="343">
        <v>1790.5221450210615</v>
      </c>
      <c r="CK60" s="343">
        <v>4118.8098492642475</v>
      </c>
      <c r="CL60" s="343">
        <v>4592.5807282099559</v>
      </c>
      <c r="CM60" s="487">
        <v>4354.4204190823712</v>
      </c>
      <c r="CN60" s="487">
        <v>6046.054698427919</v>
      </c>
      <c r="CO60" s="495">
        <v>-1359.346</v>
      </c>
      <c r="CP60" s="299"/>
      <c r="CQ60" s="489">
        <v>297.62771000000004</v>
      </c>
      <c r="CR60" s="489">
        <v>279.56907000000001</v>
      </c>
    </row>
    <row r="61" spans="1:96" x14ac:dyDescent="0.2">
      <c r="A61" s="154">
        <v>186</v>
      </c>
      <c r="B61" s="156" t="s">
        <v>95</v>
      </c>
      <c r="C61" s="337">
        <v>45630</v>
      </c>
      <c r="D61" s="276">
        <v>20.25</v>
      </c>
      <c r="E61" s="185"/>
      <c r="G61" s="278">
        <v>42300.135259999995</v>
      </c>
      <c r="H61" s="278">
        <v>302530.18375000003</v>
      </c>
      <c r="I61" s="278"/>
      <c r="J61" s="278">
        <v>204423.9412</v>
      </c>
      <c r="K61" s="278">
        <v>8732.9243699999988</v>
      </c>
      <c r="L61" s="278">
        <v>17842.595229999999</v>
      </c>
      <c r="M61" s="278">
        <v>230999.4608</v>
      </c>
      <c r="N61" s="278">
        <v>44924.963000000003</v>
      </c>
      <c r="O61" s="278">
        <v>252.42028999999999</v>
      </c>
      <c r="P61" s="278">
        <v>1043.0668499999999</v>
      </c>
      <c r="Q61" s="278">
        <v>1012.5835500000001</v>
      </c>
      <c r="R61" s="278">
        <v>26.756220000000003</v>
      </c>
      <c r="S61" s="278">
        <v>17664.381129999998</v>
      </c>
      <c r="U61" s="278">
        <v>21625.314539999999</v>
      </c>
      <c r="V61" s="278">
        <v>0</v>
      </c>
      <c r="W61" s="278">
        <v>0</v>
      </c>
      <c r="X61" s="278">
        <v>-3960.9334100000001</v>
      </c>
      <c r="Y61" s="278">
        <v>-105.09804</v>
      </c>
      <c r="Z61" s="278">
        <v>0</v>
      </c>
      <c r="AA61" s="278">
        <v>0</v>
      </c>
      <c r="AB61" s="278">
        <v>-3855.8353700000002</v>
      </c>
      <c r="AD61" s="278">
        <v>10374.37414</v>
      </c>
      <c r="AE61" s="157">
        <v>7876.5447999999997</v>
      </c>
      <c r="AF61" s="184">
        <v>-9787.8363200000003</v>
      </c>
      <c r="AG61" s="278">
        <v>-56285.862009999997</v>
      </c>
      <c r="AH61" s="278">
        <v>255.69542000000001</v>
      </c>
      <c r="AI61" s="184">
        <v>14835.288430000001</v>
      </c>
      <c r="AJ61" s="278">
        <v>744.51373000000001</v>
      </c>
      <c r="AL61" s="278">
        <v>251411.09263</v>
      </c>
      <c r="AM61" s="184">
        <v>0</v>
      </c>
      <c r="AN61" s="278">
        <v>34571.127799999995</v>
      </c>
      <c r="AO61" s="355">
        <v>46490</v>
      </c>
      <c r="AP61" s="344">
        <v>7.61</v>
      </c>
      <c r="AQ61" s="462"/>
      <c r="AS61" s="469">
        <v>38164.822540000001</v>
      </c>
      <c r="AT61" s="278">
        <v>142725.47788999998</v>
      </c>
      <c r="AU61" s="464"/>
      <c r="AV61" s="346">
        <v>98811.056469999996</v>
      </c>
      <c r="AW61" s="346">
        <v>6442.47912</v>
      </c>
      <c r="AX61" s="346">
        <v>18599.818199999998</v>
      </c>
      <c r="AY61" s="346">
        <v>123853.35379000001</v>
      </c>
      <c r="AZ61" s="346">
        <v>18843.337</v>
      </c>
      <c r="BA61" s="278">
        <v>227.14971</v>
      </c>
      <c r="BB61" s="345">
        <v>6523.1523299999999</v>
      </c>
      <c r="BC61" s="278">
        <v>897.26468</v>
      </c>
      <c r="BD61" s="278">
        <v>31.153689999999997</v>
      </c>
      <c r="BE61" s="346">
        <v>34280.389170000002</v>
      </c>
      <c r="BG61" s="343">
        <v>24456.232940000002</v>
      </c>
      <c r="BH61" s="346">
        <v>0</v>
      </c>
      <c r="BI61" s="343">
        <v>0</v>
      </c>
      <c r="BJ61" s="346">
        <v>9824.1562300000005</v>
      </c>
      <c r="BK61" s="343">
        <v>-93.25036999999999</v>
      </c>
      <c r="BL61" s="343">
        <v>0</v>
      </c>
      <c r="BM61" s="343">
        <v>0</v>
      </c>
      <c r="BN61" s="346">
        <v>9917.4066000000003</v>
      </c>
      <c r="BP61" s="346">
        <v>20107.954140000002</v>
      </c>
      <c r="BQ61" s="318">
        <v>29825.290929999999</v>
      </c>
      <c r="BR61" s="278">
        <v>-4455.0982400000003</v>
      </c>
      <c r="BS61" s="475">
        <v>-37613.769840000001</v>
      </c>
      <c r="BT61" s="278">
        <v>613.37142000000006</v>
      </c>
      <c r="BU61" s="278">
        <v>11844.513210000001</v>
      </c>
      <c r="BV61" s="345">
        <v>5330.0716600000005</v>
      </c>
      <c r="BX61" s="278">
        <v>254751.09383</v>
      </c>
      <c r="BY61" s="483">
        <v>0</v>
      </c>
      <c r="BZ61" s="483">
        <v>3340.0012000000002</v>
      </c>
      <c r="CA61" s="260"/>
      <c r="CB61" s="347">
        <v>7.6</v>
      </c>
      <c r="CC61" s="486">
        <f t="shared" si="0"/>
        <v>7.6</v>
      </c>
      <c r="CD61" s="287"/>
      <c r="CE61" s="278"/>
      <c r="CF61" s="268"/>
      <c r="CI61" s="158">
        <v>0</v>
      </c>
      <c r="CJ61" s="343">
        <v>12162.905369531372</v>
      </c>
      <c r="CK61" s="343">
        <v>16882.685652774013</v>
      </c>
      <c r="CL61" s="343">
        <v>17756.376860112941</v>
      </c>
      <c r="CM61" s="487">
        <v>19145.821370921622</v>
      </c>
      <c r="CN61" s="487">
        <v>21381.659645301988</v>
      </c>
      <c r="CO61" s="495">
        <v>64.182000000000002</v>
      </c>
      <c r="CP61" s="299"/>
      <c r="CQ61" s="489">
        <v>1774.8250500000001</v>
      </c>
      <c r="CR61" s="489">
        <v>1574.2453600000001</v>
      </c>
    </row>
    <row r="62" spans="1:96" x14ac:dyDescent="0.2">
      <c r="A62" s="154">
        <v>202</v>
      </c>
      <c r="B62" s="156" t="s">
        <v>96</v>
      </c>
      <c r="C62" s="337">
        <v>35848</v>
      </c>
      <c r="D62" s="276">
        <v>20.25</v>
      </c>
      <c r="E62" s="185"/>
      <c r="G62" s="278">
        <v>38702.955620000001</v>
      </c>
      <c r="H62" s="278">
        <v>233969.95522999999</v>
      </c>
      <c r="I62" s="278"/>
      <c r="J62" s="278">
        <v>159008.75516999999</v>
      </c>
      <c r="K62" s="278">
        <v>10529.53508</v>
      </c>
      <c r="L62" s="278">
        <v>8051.6939499999999</v>
      </c>
      <c r="M62" s="278">
        <v>177589.98419999998</v>
      </c>
      <c r="N62" s="278">
        <v>41275.915999999997</v>
      </c>
      <c r="O62" s="278">
        <v>72.69541000000001</v>
      </c>
      <c r="P62" s="278">
        <v>2354.17787</v>
      </c>
      <c r="Q62" s="278">
        <v>252.36846</v>
      </c>
      <c r="R62" s="278">
        <v>4.2846800000000007</v>
      </c>
      <c r="S62" s="278">
        <v>21817.115579999998</v>
      </c>
      <c r="U62" s="278">
        <v>12000.702949999999</v>
      </c>
      <c r="V62" s="278">
        <v>0</v>
      </c>
      <c r="W62" s="278">
        <v>0</v>
      </c>
      <c r="X62" s="278">
        <v>9816.4126300000007</v>
      </c>
      <c r="Y62" s="278">
        <v>-16.66667</v>
      </c>
      <c r="Z62" s="278">
        <v>0</v>
      </c>
      <c r="AA62" s="278">
        <v>0</v>
      </c>
      <c r="AB62" s="278">
        <v>9833.0793000000012</v>
      </c>
      <c r="AD62" s="278">
        <v>44396.467349999992</v>
      </c>
      <c r="AE62" s="157">
        <v>19898.77075</v>
      </c>
      <c r="AF62" s="184">
        <v>-1918.34483</v>
      </c>
      <c r="AG62" s="278">
        <v>-19313.478620000002</v>
      </c>
      <c r="AH62" s="278">
        <v>278.60000000000002</v>
      </c>
      <c r="AI62" s="184">
        <v>2189.7914999999998</v>
      </c>
      <c r="AJ62" s="278">
        <v>30824.658940000001</v>
      </c>
      <c r="AL62" s="278">
        <v>93375</v>
      </c>
      <c r="AM62" s="184">
        <v>0</v>
      </c>
      <c r="AN62" s="278">
        <v>-4783.3429999999998</v>
      </c>
      <c r="AO62" s="355">
        <v>36339</v>
      </c>
      <c r="AP62" s="344">
        <v>7.61</v>
      </c>
      <c r="AQ62" s="462"/>
      <c r="AS62" s="469">
        <v>25285.500190000002</v>
      </c>
      <c r="AT62" s="278">
        <v>117487.22073</v>
      </c>
      <c r="AU62" s="464"/>
      <c r="AV62" s="346">
        <v>74901.562239999999</v>
      </c>
      <c r="AW62" s="346">
        <v>7091.6183899999996</v>
      </c>
      <c r="AX62" s="346">
        <v>8614.7875000000004</v>
      </c>
      <c r="AY62" s="346">
        <v>90607.968129999994</v>
      </c>
      <c r="AZ62" s="346">
        <v>24172.685000000001</v>
      </c>
      <c r="BA62" s="278">
        <v>871.06909999999993</v>
      </c>
      <c r="BB62" s="345">
        <v>3948.2426399999999</v>
      </c>
      <c r="BC62" s="278">
        <v>4821.4147800000001</v>
      </c>
      <c r="BD62" s="278">
        <v>3604.9381699999999</v>
      </c>
      <c r="BE62" s="346">
        <v>21067.39401</v>
      </c>
      <c r="BG62" s="343">
        <v>10841.27475</v>
      </c>
      <c r="BH62" s="343">
        <v>0</v>
      </c>
      <c r="BI62" s="343">
        <v>0</v>
      </c>
      <c r="BJ62" s="346">
        <v>10226.119259999999</v>
      </c>
      <c r="BK62" s="343">
        <v>-16.66667</v>
      </c>
      <c r="BL62" s="346">
        <v>0</v>
      </c>
      <c r="BM62" s="343">
        <v>0</v>
      </c>
      <c r="BN62" s="346">
        <v>10242.78593</v>
      </c>
      <c r="BP62" s="346">
        <v>54639.253279999997</v>
      </c>
      <c r="BQ62" s="318">
        <v>20661.446969999997</v>
      </c>
      <c r="BR62" s="278">
        <v>-405.94703999999996</v>
      </c>
      <c r="BS62" s="475">
        <v>-37797.505060000003</v>
      </c>
      <c r="BT62" s="278">
        <v>168.75</v>
      </c>
      <c r="BU62" s="278">
        <v>865.61953000000005</v>
      </c>
      <c r="BV62" s="345">
        <v>28957.22465</v>
      </c>
      <c r="BX62" s="278">
        <v>113875</v>
      </c>
      <c r="BY62" s="483">
        <v>-4055.4083999999998</v>
      </c>
      <c r="BZ62" s="483">
        <v>20500</v>
      </c>
      <c r="CA62" s="260"/>
      <c r="CB62" s="347">
        <v>7.6</v>
      </c>
      <c r="CC62" s="486">
        <f t="shared" si="0"/>
        <v>7.6</v>
      </c>
      <c r="CD62" s="287"/>
      <c r="CE62" s="278"/>
      <c r="CF62" s="268"/>
      <c r="CI62" s="158">
        <v>0</v>
      </c>
      <c r="CJ62" s="343">
        <v>25125.762111733562</v>
      </c>
      <c r="CK62" s="343">
        <v>27194.140605334713</v>
      </c>
      <c r="CL62" s="343">
        <v>27281.874438607279</v>
      </c>
      <c r="CM62" s="487">
        <v>27515.981661392314</v>
      </c>
      <c r="CN62" s="487">
        <v>28057.714530827889</v>
      </c>
      <c r="CO62" s="495">
        <v>-3898.7849999999999</v>
      </c>
      <c r="CP62" s="299"/>
      <c r="CQ62" s="489">
        <v>251.61367000000001</v>
      </c>
      <c r="CR62" s="489">
        <v>349.15834999999998</v>
      </c>
    </row>
    <row r="63" spans="1:96" x14ac:dyDescent="0.2">
      <c r="A63" s="154">
        <v>204</v>
      </c>
      <c r="B63" s="156" t="s">
        <v>97</v>
      </c>
      <c r="C63" s="337">
        <v>2689</v>
      </c>
      <c r="D63" s="276">
        <v>22</v>
      </c>
      <c r="E63" s="185"/>
      <c r="G63" s="278">
        <v>2356.1423100000002</v>
      </c>
      <c r="H63" s="278">
        <v>25335.82847</v>
      </c>
      <c r="I63" s="278"/>
      <c r="J63" s="278">
        <v>7753.6733600000007</v>
      </c>
      <c r="K63" s="278">
        <v>1923.0534</v>
      </c>
      <c r="L63" s="278">
        <v>1292.0323500000002</v>
      </c>
      <c r="M63" s="278">
        <v>10968.759109999999</v>
      </c>
      <c r="N63" s="278">
        <v>12452.683999999999</v>
      </c>
      <c r="O63" s="278">
        <v>3.8242099999999999</v>
      </c>
      <c r="P63" s="278">
        <v>86.790350000000004</v>
      </c>
      <c r="Q63" s="278">
        <v>185.19551999999999</v>
      </c>
      <c r="R63" s="278">
        <v>4.6283900000000004</v>
      </c>
      <c r="S63" s="278">
        <v>539.35793999999999</v>
      </c>
      <c r="U63" s="278">
        <v>677.70808999999997</v>
      </c>
      <c r="V63" s="278">
        <v>0</v>
      </c>
      <c r="W63" s="278">
        <v>0</v>
      </c>
      <c r="X63" s="278">
        <v>-138.35014999999999</v>
      </c>
      <c r="Y63" s="278">
        <v>-10.577639999999999</v>
      </c>
      <c r="Z63" s="278">
        <v>0</v>
      </c>
      <c r="AA63" s="278">
        <v>0</v>
      </c>
      <c r="AB63" s="278">
        <v>-127.77251</v>
      </c>
      <c r="AD63" s="278">
        <v>955.14301999999998</v>
      </c>
      <c r="AE63" s="157">
        <v>512.31169</v>
      </c>
      <c r="AF63" s="184">
        <v>-27.046250000000001</v>
      </c>
      <c r="AG63" s="278">
        <v>-3625.5218399999999</v>
      </c>
      <c r="AH63" s="278">
        <v>0</v>
      </c>
      <c r="AI63" s="184">
        <v>30.32</v>
      </c>
      <c r="AJ63" s="278">
        <v>834.78512000000001</v>
      </c>
      <c r="AL63" s="278">
        <v>8700.6839999999993</v>
      </c>
      <c r="AM63" s="184">
        <v>7.33</v>
      </c>
      <c r="AN63" s="278">
        <v>2508.8429999999998</v>
      </c>
      <c r="AO63" s="355">
        <v>2628</v>
      </c>
      <c r="AP63" s="344">
        <v>9.36</v>
      </c>
      <c r="AQ63" s="462"/>
      <c r="AS63" s="469">
        <v>1890.3164299999999</v>
      </c>
      <c r="AT63" s="278">
        <v>8374.8435599999993</v>
      </c>
      <c r="AU63" s="464"/>
      <c r="AV63" s="346">
        <v>3822.8761199999999</v>
      </c>
      <c r="AW63" s="346">
        <v>1184.18379</v>
      </c>
      <c r="AX63" s="346">
        <v>1258.53178</v>
      </c>
      <c r="AY63" s="346">
        <v>6265.5916900000002</v>
      </c>
      <c r="AZ63" s="346">
        <v>274.93700000000001</v>
      </c>
      <c r="BA63" s="278">
        <v>3.8725500000000004</v>
      </c>
      <c r="BB63" s="345">
        <v>235.04223999999999</v>
      </c>
      <c r="BC63" s="278">
        <v>184.27759</v>
      </c>
      <c r="BD63" s="278">
        <v>3.0122</v>
      </c>
      <c r="BE63" s="346">
        <v>6.0972600000000003</v>
      </c>
      <c r="BG63" s="343">
        <v>703.30142000000001</v>
      </c>
      <c r="BH63" s="343">
        <v>0</v>
      </c>
      <c r="BI63" s="346">
        <v>0</v>
      </c>
      <c r="BJ63" s="346">
        <v>-697.20416</v>
      </c>
      <c r="BK63" s="346">
        <v>-10.577639999999999</v>
      </c>
      <c r="BL63" s="343">
        <v>0</v>
      </c>
      <c r="BM63" s="343">
        <v>0</v>
      </c>
      <c r="BN63" s="346">
        <v>-686.62652000000003</v>
      </c>
      <c r="BP63" s="346">
        <v>268.51649999999995</v>
      </c>
      <c r="BQ63" s="318">
        <v>382.44826</v>
      </c>
      <c r="BR63" s="278">
        <v>376.351</v>
      </c>
      <c r="BS63" s="475">
        <v>-980.30300999999997</v>
      </c>
      <c r="BT63" s="278">
        <v>0</v>
      </c>
      <c r="BU63" s="278">
        <v>62.67</v>
      </c>
      <c r="BV63" s="345">
        <v>596.80959999999993</v>
      </c>
      <c r="BX63" s="278">
        <v>8687.1720000000005</v>
      </c>
      <c r="BY63" s="483">
        <v>7.33</v>
      </c>
      <c r="BZ63" s="483">
        <v>-13.512</v>
      </c>
      <c r="CA63" s="260"/>
      <c r="CB63" s="347">
        <v>9.8000000000000007</v>
      </c>
      <c r="CC63" s="486">
        <f t="shared" si="0"/>
        <v>9.8000000000000007</v>
      </c>
      <c r="CD63" s="287"/>
      <c r="CE63" s="278"/>
      <c r="CF63" s="268"/>
      <c r="CI63" s="158">
        <v>500</v>
      </c>
      <c r="CJ63" s="343">
        <v>-534.86767066730704</v>
      </c>
      <c r="CK63" s="343">
        <v>-408.15813689805873</v>
      </c>
      <c r="CL63" s="343">
        <v>210.21660073030853</v>
      </c>
      <c r="CM63" s="487">
        <v>368.77746763424807</v>
      </c>
      <c r="CN63" s="487">
        <v>792.49812442917619</v>
      </c>
      <c r="CO63" s="495">
        <v>-603.73299999999995</v>
      </c>
      <c r="CP63" s="299"/>
      <c r="CQ63" s="489">
        <v>0</v>
      </c>
      <c r="CR63" s="489">
        <v>0</v>
      </c>
    </row>
    <row r="64" spans="1:96" x14ac:dyDescent="0.2">
      <c r="A64" s="154">
        <v>205</v>
      </c>
      <c r="B64" s="156" t="s">
        <v>98</v>
      </c>
      <c r="C64" s="337">
        <v>36297</v>
      </c>
      <c r="D64" s="276">
        <v>21</v>
      </c>
      <c r="E64" s="185"/>
      <c r="G64" s="278">
        <v>40864.331049999993</v>
      </c>
      <c r="H64" s="278">
        <v>310519.23598</v>
      </c>
      <c r="I64" s="278"/>
      <c r="J64" s="278">
        <v>134496.75480000002</v>
      </c>
      <c r="K64" s="278">
        <v>9439.6585599999999</v>
      </c>
      <c r="L64" s="278">
        <v>11180.93842</v>
      </c>
      <c r="M64" s="278">
        <v>155117.35178</v>
      </c>
      <c r="N64" s="278">
        <v>124672.09607</v>
      </c>
      <c r="O64" s="278">
        <v>492.10629999999998</v>
      </c>
      <c r="P64" s="278">
        <v>1772.1337900000001</v>
      </c>
      <c r="Q64" s="278">
        <v>17765.2857</v>
      </c>
      <c r="R64" s="278">
        <v>12953.44335</v>
      </c>
      <c r="S64" s="278">
        <v>14504.827640000001</v>
      </c>
      <c r="U64" s="278">
        <v>16792.48114</v>
      </c>
      <c r="V64" s="278">
        <v>1852.299</v>
      </c>
      <c r="W64" s="278">
        <v>0</v>
      </c>
      <c r="X64" s="278">
        <v>-435.35449999999997</v>
      </c>
      <c r="Y64" s="278">
        <v>-774.50963000000002</v>
      </c>
      <c r="Z64" s="278">
        <v>-176.99902</v>
      </c>
      <c r="AA64" s="278">
        <v>-8.6785899999999998</v>
      </c>
      <c r="AB64" s="278">
        <v>524.83273999999994</v>
      </c>
      <c r="AD64" s="278">
        <v>175200.80574000001</v>
      </c>
      <c r="AE64" s="157">
        <v>12980.29976</v>
      </c>
      <c r="AF64" s="184">
        <v>-3376.8268800000001</v>
      </c>
      <c r="AG64" s="278">
        <v>-18376.8825</v>
      </c>
      <c r="AH64" s="278">
        <v>725.19200999999998</v>
      </c>
      <c r="AI64" s="184">
        <v>2899.51388</v>
      </c>
      <c r="AJ64" s="278">
        <v>198611.87904</v>
      </c>
      <c r="AL64" s="278">
        <v>153304.42720999997</v>
      </c>
      <c r="AM64" s="184">
        <v>154.60570000000001</v>
      </c>
      <c r="AN64" s="278">
        <v>21301.526690000002</v>
      </c>
      <c r="AO64" s="355">
        <v>36513</v>
      </c>
      <c r="AP64" s="344">
        <v>8.36</v>
      </c>
      <c r="AQ64" s="462"/>
      <c r="AS64" s="469">
        <v>33609.189810000003</v>
      </c>
      <c r="AT64" s="278">
        <v>159477.17767999999</v>
      </c>
      <c r="AU64" s="464"/>
      <c r="AV64" s="346">
        <v>64297.284770000006</v>
      </c>
      <c r="AW64" s="346">
        <v>6335.0097000000005</v>
      </c>
      <c r="AX64" s="346">
        <v>11359.795900000001</v>
      </c>
      <c r="AY64" s="346">
        <v>81992.090370000005</v>
      </c>
      <c r="AZ64" s="346">
        <v>47175.84893</v>
      </c>
      <c r="BA64" s="278">
        <v>301.51847999999995</v>
      </c>
      <c r="BB64" s="345">
        <v>2401.3188100000002</v>
      </c>
      <c r="BC64" s="278">
        <v>24451.121899999998</v>
      </c>
      <c r="BD64" s="278">
        <v>5101.3286600000001</v>
      </c>
      <c r="BE64" s="346">
        <v>21185.873379999997</v>
      </c>
      <c r="BG64" s="343">
        <v>18300.22364</v>
      </c>
      <c r="BH64" s="346">
        <v>0</v>
      </c>
      <c r="BI64" s="346">
        <v>0</v>
      </c>
      <c r="BJ64" s="346">
        <v>2885.6497400000003</v>
      </c>
      <c r="BK64" s="346">
        <v>-91.578140000000005</v>
      </c>
      <c r="BL64" s="343">
        <v>-405.36399999999998</v>
      </c>
      <c r="BM64" s="346">
        <v>-5.484</v>
      </c>
      <c r="BN64" s="346">
        <v>3388.0758799999999</v>
      </c>
      <c r="BP64" s="346">
        <v>178588.88159</v>
      </c>
      <c r="BQ64" s="318">
        <v>19643.30257</v>
      </c>
      <c r="BR64" s="278">
        <v>-1542.5708200000001</v>
      </c>
      <c r="BS64" s="475">
        <v>-19805.046039999997</v>
      </c>
      <c r="BT64" s="278">
        <v>1588.83763</v>
      </c>
      <c r="BU64" s="278">
        <v>210.37743</v>
      </c>
      <c r="BV64" s="345">
        <v>183762.60100999998</v>
      </c>
      <c r="BX64" s="278">
        <v>129510.54149</v>
      </c>
      <c r="BY64" s="483">
        <v>130.64311999999998</v>
      </c>
      <c r="BZ64" s="483">
        <v>-23793.885719999998</v>
      </c>
      <c r="CA64" s="260"/>
      <c r="CB64" s="347">
        <v>8.4</v>
      </c>
      <c r="CC64" s="486">
        <f t="shared" si="0"/>
        <v>8.4</v>
      </c>
      <c r="CD64" s="287"/>
      <c r="CE64" s="278"/>
      <c r="CF64" s="268"/>
      <c r="CI64" s="158">
        <v>0</v>
      </c>
      <c r="CJ64" s="343">
        <v>49966.249612910593</v>
      </c>
      <c r="CK64" s="343">
        <v>55528.692637289489</v>
      </c>
      <c r="CL64" s="343">
        <v>54423.595671624564</v>
      </c>
      <c r="CM64" s="487">
        <v>54662.918825200242</v>
      </c>
      <c r="CN64" s="487">
        <v>57436.972590703335</v>
      </c>
      <c r="CO64" s="495">
        <v>32652.392</v>
      </c>
      <c r="CP64" s="299"/>
      <c r="CQ64" s="489">
        <v>838.46986000000004</v>
      </c>
      <c r="CR64" s="489">
        <v>635.92903999999999</v>
      </c>
    </row>
    <row r="65" spans="1:96" x14ac:dyDescent="0.2">
      <c r="A65" s="271">
        <v>208</v>
      </c>
      <c r="B65" s="268" t="s">
        <v>99</v>
      </c>
      <c r="C65" s="337">
        <v>12335</v>
      </c>
      <c r="D65" s="276">
        <v>21</v>
      </c>
      <c r="E65" s="318"/>
      <c r="F65" s="268"/>
      <c r="G65" s="278">
        <v>24258.408380000001</v>
      </c>
      <c r="H65" s="278">
        <v>103209.23602</v>
      </c>
      <c r="I65" s="278"/>
      <c r="J65" s="278">
        <v>38271.894670000001</v>
      </c>
      <c r="K65" s="278">
        <v>3475.1664900000001</v>
      </c>
      <c r="L65" s="278">
        <v>5707.8563199999999</v>
      </c>
      <c r="M65" s="278">
        <v>47454.917479999996</v>
      </c>
      <c r="N65" s="278">
        <v>39663.207999999999</v>
      </c>
      <c r="O65" s="278">
        <v>317.38702000000001</v>
      </c>
      <c r="P65" s="278">
        <v>142.73051000000001</v>
      </c>
      <c r="Q65" s="278">
        <v>2245.95894</v>
      </c>
      <c r="R65" s="278">
        <v>1280.0762400000001</v>
      </c>
      <c r="S65" s="278">
        <v>9506.6756300000015</v>
      </c>
      <c r="T65" s="268"/>
      <c r="U65" s="278">
        <v>6275.0418300000001</v>
      </c>
      <c r="V65" s="278">
        <v>0</v>
      </c>
      <c r="W65" s="278">
        <v>0</v>
      </c>
      <c r="X65" s="278">
        <v>3231.6337999999996</v>
      </c>
      <c r="Y65" s="278">
        <v>-53.925330000000002</v>
      </c>
      <c r="Z65" s="278">
        <v>0</v>
      </c>
      <c r="AA65" s="278">
        <v>0</v>
      </c>
      <c r="AB65" s="278">
        <v>3285.5591300000001</v>
      </c>
      <c r="AC65" s="268"/>
      <c r="AD65" s="278">
        <v>22562.190059999997</v>
      </c>
      <c r="AE65" s="318">
        <v>9112.0609600000007</v>
      </c>
      <c r="AF65" s="278">
        <v>-398.10760999999997</v>
      </c>
      <c r="AG65" s="278">
        <v>-7259.9419200000002</v>
      </c>
      <c r="AH65" s="278">
        <v>333.63650000000001</v>
      </c>
      <c r="AI65" s="278">
        <v>1312.89876</v>
      </c>
      <c r="AJ65" s="278">
        <v>20710.635269999999</v>
      </c>
      <c r="AK65" s="268"/>
      <c r="AL65" s="278">
        <v>41196.994599999998</v>
      </c>
      <c r="AM65" s="278">
        <v>78.864890000000003</v>
      </c>
      <c r="AN65" s="278">
        <v>-3031.2828999999997</v>
      </c>
      <c r="AO65" s="337">
        <v>12372</v>
      </c>
      <c r="AP65" s="344">
        <v>8.36</v>
      </c>
      <c r="AQ65" s="460"/>
      <c r="AS65" s="469">
        <v>12230.866179999999</v>
      </c>
      <c r="AT65" s="278">
        <v>47390.471530000003</v>
      </c>
      <c r="AU65" s="461"/>
      <c r="AV65" s="278">
        <v>19552.528249999999</v>
      </c>
      <c r="AW65" s="278">
        <v>2972.04864</v>
      </c>
      <c r="AX65" s="278">
        <v>7611.0865899999999</v>
      </c>
      <c r="AY65" s="278">
        <v>30135.663479999999</v>
      </c>
      <c r="AZ65" s="278">
        <v>17124.738000000001</v>
      </c>
      <c r="BA65" s="278">
        <v>420.57062000000002</v>
      </c>
      <c r="BB65" s="278">
        <v>673.41261999999995</v>
      </c>
      <c r="BC65" s="278">
        <v>1147.8591399999998</v>
      </c>
      <c r="BD65" s="278">
        <v>479.49703000000005</v>
      </c>
      <c r="BE65" s="278">
        <v>12706.819820000001</v>
      </c>
      <c r="BG65" s="278">
        <v>7036.7906600000006</v>
      </c>
      <c r="BH65" s="278">
        <v>0</v>
      </c>
      <c r="BI65" s="278">
        <v>0</v>
      </c>
      <c r="BJ65" s="278">
        <v>5670.02916</v>
      </c>
      <c r="BK65" s="278">
        <v>-53.925330000000002</v>
      </c>
      <c r="BL65" s="278">
        <v>2500</v>
      </c>
      <c r="BM65" s="278">
        <v>0</v>
      </c>
      <c r="BN65" s="278">
        <v>3223.9544900000001</v>
      </c>
      <c r="BP65" s="278">
        <v>25786.268770000002</v>
      </c>
      <c r="BQ65" s="318">
        <v>12432.883830000001</v>
      </c>
      <c r="BR65" s="278">
        <v>-273.93599</v>
      </c>
      <c r="BS65" s="278">
        <v>-6502.8878399999994</v>
      </c>
      <c r="BT65" s="278">
        <v>880.30914000000007</v>
      </c>
      <c r="BU65" s="278">
        <v>316.41697999999997</v>
      </c>
      <c r="BV65" s="278">
        <v>18372.441129999999</v>
      </c>
      <c r="BX65" s="278">
        <v>33565.7117</v>
      </c>
      <c r="BY65" s="483">
        <v>66.18713000000001</v>
      </c>
      <c r="BZ65" s="483">
        <v>-7631.2829000000002</v>
      </c>
      <c r="CA65" s="260"/>
      <c r="CB65" s="347">
        <v>8.3000000000000007</v>
      </c>
      <c r="CC65" s="486">
        <f t="shared" si="0"/>
        <v>8.3000000000000007</v>
      </c>
      <c r="CD65" s="287"/>
      <c r="CE65" s="278"/>
      <c r="CF65" s="268"/>
      <c r="CG65" s="266"/>
      <c r="CH65" s="268"/>
      <c r="CI65" s="266">
        <v>0</v>
      </c>
      <c r="CJ65" s="343">
        <v>15260.121367662274</v>
      </c>
      <c r="CK65" s="343">
        <v>14671.456152546883</v>
      </c>
      <c r="CL65" s="343">
        <v>14573.693927885786</v>
      </c>
      <c r="CM65" s="487">
        <v>14793.783066829021</v>
      </c>
      <c r="CN65" s="487">
        <v>16084.356921818657</v>
      </c>
      <c r="CO65" s="495">
        <v>-80.061000000000007</v>
      </c>
      <c r="CP65" s="299"/>
      <c r="CQ65" s="489">
        <v>198.83857999999998</v>
      </c>
      <c r="CR65" s="489">
        <v>190.50358</v>
      </c>
    </row>
    <row r="66" spans="1:96" x14ac:dyDescent="0.2">
      <c r="A66" s="271">
        <v>211</v>
      </c>
      <c r="B66" s="268" t="s">
        <v>100</v>
      </c>
      <c r="C66" s="337">
        <v>32959</v>
      </c>
      <c r="D66" s="276">
        <v>21</v>
      </c>
      <c r="E66" s="318"/>
      <c r="F66" s="317"/>
      <c r="G66" s="278">
        <v>49808.552069999998</v>
      </c>
      <c r="H66" s="278">
        <v>238161.16586000001</v>
      </c>
      <c r="I66" s="278"/>
      <c r="J66" s="278">
        <v>136963.88580000002</v>
      </c>
      <c r="K66" s="278">
        <v>7855.3036600000005</v>
      </c>
      <c r="L66" s="278">
        <v>8373.0380000000005</v>
      </c>
      <c r="M66" s="278">
        <v>153192.22745999999</v>
      </c>
      <c r="N66" s="278">
        <v>49822.792000000001</v>
      </c>
      <c r="O66" s="278">
        <v>150.34139999999999</v>
      </c>
      <c r="P66" s="278">
        <v>890.09448999999995</v>
      </c>
      <c r="Q66" s="278">
        <v>11660.870060000001</v>
      </c>
      <c r="R66" s="278">
        <v>11075.93339</v>
      </c>
      <c r="S66" s="278">
        <v>14507.589250000001</v>
      </c>
      <c r="T66" s="317"/>
      <c r="U66" s="278">
        <v>14664.468080000001</v>
      </c>
      <c r="V66" s="278">
        <v>0</v>
      </c>
      <c r="W66" s="278">
        <v>0</v>
      </c>
      <c r="X66" s="278">
        <v>-156.87882999999999</v>
      </c>
      <c r="Y66" s="278">
        <v>5574.7344800000001</v>
      </c>
      <c r="Z66" s="278">
        <v>-7801.4274999999998</v>
      </c>
      <c r="AA66" s="278">
        <v>0</v>
      </c>
      <c r="AB66" s="278">
        <v>2069.8141900000001</v>
      </c>
      <c r="AC66" s="317"/>
      <c r="AD66" s="278">
        <v>72742.377379999991</v>
      </c>
      <c r="AE66" s="476">
        <v>13750.69745</v>
      </c>
      <c r="AF66" s="345">
        <v>-756.89178000000004</v>
      </c>
      <c r="AG66" s="278">
        <v>-42061.407780000001</v>
      </c>
      <c r="AH66" s="278">
        <v>909.12042000000008</v>
      </c>
      <c r="AI66" s="345">
        <v>1141.17275</v>
      </c>
      <c r="AJ66" s="278">
        <v>52992.448069999999</v>
      </c>
      <c r="AK66" s="317"/>
      <c r="AL66" s="278">
        <v>86459.311550000013</v>
      </c>
      <c r="AM66" s="345">
        <v>10.199999999999999</v>
      </c>
      <c r="AN66" s="278">
        <v>27576.95636</v>
      </c>
      <c r="AO66" s="355">
        <v>33473</v>
      </c>
      <c r="AP66" s="344">
        <v>8.36</v>
      </c>
      <c r="AQ66" s="460"/>
      <c r="AR66" s="466"/>
      <c r="AS66" s="469">
        <v>22438.409219999998</v>
      </c>
      <c r="AT66" s="278">
        <v>112074.55012</v>
      </c>
      <c r="AU66" s="465"/>
      <c r="AV66" s="345">
        <v>69741.61523000001</v>
      </c>
      <c r="AW66" s="345">
        <v>5720.35466</v>
      </c>
      <c r="AX66" s="345">
        <v>8594.6803</v>
      </c>
      <c r="AY66" s="345">
        <v>84056.65019</v>
      </c>
      <c r="AZ66" s="345">
        <v>23532.717940000002</v>
      </c>
      <c r="BA66" s="345">
        <v>301.68707000000001</v>
      </c>
      <c r="BB66" s="345">
        <v>2061.50605</v>
      </c>
      <c r="BC66" s="345">
        <v>15031.82603</v>
      </c>
      <c r="BD66" s="345">
        <v>11224.707920000001</v>
      </c>
      <c r="BE66" s="345">
        <v>20000.52636</v>
      </c>
      <c r="BF66" s="466"/>
      <c r="BG66" s="345">
        <v>16859.372309999999</v>
      </c>
      <c r="BH66" s="345">
        <v>0</v>
      </c>
      <c r="BI66" s="345">
        <v>0</v>
      </c>
      <c r="BJ66" s="345">
        <v>3141.1540499999996</v>
      </c>
      <c r="BK66" s="345">
        <v>-252.84744000000001</v>
      </c>
      <c r="BL66" s="345">
        <v>-2368.2491400000004</v>
      </c>
      <c r="BM66" s="345">
        <v>0</v>
      </c>
      <c r="BN66" s="345">
        <v>5762.2506299999995</v>
      </c>
      <c r="BO66" s="466"/>
      <c r="BP66" s="345">
        <v>78504.628089999984</v>
      </c>
      <c r="BQ66" s="476">
        <v>19278.48416</v>
      </c>
      <c r="BR66" s="345">
        <v>-722.04219999999998</v>
      </c>
      <c r="BS66" s="345">
        <v>-46621.631350000003</v>
      </c>
      <c r="BT66" s="345">
        <v>1472.50045</v>
      </c>
      <c r="BU66" s="345">
        <v>2248.8236499999998</v>
      </c>
      <c r="BV66" s="345">
        <v>48101.584869999999</v>
      </c>
      <c r="BW66" s="466"/>
      <c r="BX66" s="345">
        <v>111600.01295</v>
      </c>
      <c r="BY66" s="483">
        <v>-45.005160000000004</v>
      </c>
      <c r="BZ66" s="484">
        <v>25140.701399999998</v>
      </c>
      <c r="CA66" s="319"/>
      <c r="CB66" s="347">
        <v>9.4</v>
      </c>
      <c r="CC66" s="486">
        <f t="shared" si="0"/>
        <v>9.4</v>
      </c>
      <c r="CD66" s="321"/>
      <c r="CE66" s="278"/>
      <c r="CF66" s="268"/>
      <c r="CG66" s="317"/>
      <c r="CH66" s="317"/>
      <c r="CI66" s="317">
        <v>0</v>
      </c>
      <c r="CJ66" s="345">
        <v>19820.144778736503</v>
      </c>
      <c r="CK66" s="345">
        <v>20137.447672639213</v>
      </c>
      <c r="CL66" s="343">
        <v>20980.546960387241</v>
      </c>
      <c r="CM66" s="487">
        <v>21297.431019240816</v>
      </c>
      <c r="CN66" s="487">
        <v>21791.850647160765</v>
      </c>
      <c r="CO66" s="495">
        <v>-4333.4799999999996</v>
      </c>
      <c r="CP66" s="299"/>
      <c r="CQ66" s="489">
        <v>0</v>
      </c>
      <c r="CR66" s="489">
        <v>0</v>
      </c>
    </row>
    <row r="67" spans="1:96" x14ac:dyDescent="0.2">
      <c r="A67" s="154">
        <v>213</v>
      </c>
      <c r="B67" s="156" t="s">
        <v>101</v>
      </c>
      <c r="C67" s="337">
        <v>5154</v>
      </c>
      <c r="D67" s="276">
        <v>21.5</v>
      </c>
      <c r="E67" s="185"/>
      <c r="G67" s="278">
        <v>4423.7472300000009</v>
      </c>
      <c r="H67" s="278">
        <v>44504.698530000001</v>
      </c>
      <c r="I67" s="278"/>
      <c r="J67" s="278">
        <v>15333.891800000001</v>
      </c>
      <c r="K67" s="278">
        <v>4152.1269300000004</v>
      </c>
      <c r="L67" s="278">
        <v>2084.5599299999999</v>
      </c>
      <c r="M67" s="278">
        <v>21570.578659999999</v>
      </c>
      <c r="N67" s="278">
        <v>19852.613000000001</v>
      </c>
      <c r="O67" s="278">
        <v>5.7174199999999997</v>
      </c>
      <c r="P67" s="278">
        <v>77.650750000000002</v>
      </c>
      <c r="Q67" s="278">
        <v>344.50506000000001</v>
      </c>
      <c r="R67" s="278">
        <v>15.224110000000001</v>
      </c>
      <c r="S67" s="278">
        <v>1525.1879799999999</v>
      </c>
      <c r="U67" s="278">
        <v>1506.6462099999999</v>
      </c>
      <c r="V67" s="278">
        <v>0</v>
      </c>
      <c r="W67" s="278">
        <v>0</v>
      </c>
      <c r="X67" s="278">
        <v>18.54177</v>
      </c>
      <c r="Y67" s="278">
        <v>0</v>
      </c>
      <c r="Z67" s="278">
        <v>0</v>
      </c>
      <c r="AA67" s="278">
        <v>0</v>
      </c>
      <c r="AB67" s="278">
        <v>18.54177</v>
      </c>
      <c r="AD67" s="278">
        <v>8634.9793699999991</v>
      </c>
      <c r="AE67" s="157">
        <v>836.47534999999993</v>
      </c>
      <c r="AF67" s="184">
        <v>-688.92129</v>
      </c>
      <c r="AG67" s="278">
        <v>-1007.62821</v>
      </c>
      <c r="AH67" s="278">
        <v>40</v>
      </c>
      <c r="AI67" s="184">
        <v>608.67923999999994</v>
      </c>
      <c r="AJ67" s="278">
        <v>271.08908000000002</v>
      </c>
      <c r="AL67" s="278">
        <v>10803.804</v>
      </c>
      <c r="AM67" s="184">
        <v>115.16667</v>
      </c>
      <c r="AN67" s="278">
        <v>-4463.34</v>
      </c>
      <c r="AO67" s="355">
        <v>5114</v>
      </c>
      <c r="AP67" s="344">
        <v>8.86</v>
      </c>
      <c r="AQ67" s="462"/>
      <c r="AS67" s="469">
        <v>3668.4289199999998</v>
      </c>
      <c r="AT67" s="278">
        <v>16693.734840000001</v>
      </c>
      <c r="AU67" s="464"/>
      <c r="AV67" s="346">
        <v>8460.8690299999998</v>
      </c>
      <c r="AW67" s="346">
        <v>2341.2039100000002</v>
      </c>
      <c r="AX67" s="346">
        <v>2130.2290099999996</v>
      </c>
      <c r="AY67" s="346">
        <v>12932.301949999999</v>
      </c>
      <c r="AZ67" s="346">
        <v>1871.827</v>
      </c>
      <c r="BA67" s="278">
        <v>24.484779999999997</v>
      </c>
      <c r="BB67" s="345">
        <v>266.74482</v>
      </c>
      <c r="BC67" s="278">
        <v>275.63378</v>
      </c>
      <c r="BD67" s="278">
        <v>14.45153</v>
      </c>
      <c r="BE67" s="346">
        <v>1797.74524</v>
      </c>
      <c r="BG67" s="343">
        <v>1672.4623300000001</v>
      </c>
      <c r="BH67" s="343">
        <v>0</v>
      </c>
      <c r="BI67" s="346">
        <v>0</v>
      </c>
      <c r="BJ67" s="346">
        <v>125.28291</v>
      </c>
      <c r="BK67" s="343">
        <v>0</v>
      </c>
      <c r="BL67" s="346">
        <v>0</v>
      </c>
      <c r="BM67" s="343">
        <v>0</v>
      </c>
      <c r="BN67" s="346">
        <v>125.28291</v>
      </c>
      <c r="BP67" s="346">
        <v>8760.262279999999</v>
      </c>
      <c r="BQ67" s="318">
        <v>1634.69784</v>
      </c>
      <c r="BR67" s="278">
        <v>-163.04739999999998</v>
      </c>
      <c r="BS67" s="475">
        <v>-868.26268000000005</v>
      </c>
      <c r="BT67" s="278">
        <v>0</v>
      </c>
      <c r="BU67" s="278">
        <v>178.8</v>
      </c>
      <c r="BV67" s="345">
        <v>376.93468999999999</v>
      </c>
      <c r="BX67" s="278">
        <v>10840.464</v>
      </c>
      <c r="BY67" s="483">
        <v>142.16664</v>
      </c>
      <c r="BZ67" s="483">
        <v>36.659999999999997</v>
      </c>
      <c r="CA67" s="260"/>
      <c r="CB67" s="347">
        <v>9.4</v>
      </c>
      <c r="CC67" s="486">
        <f t="shared" si="0"/>
        <v>9.4</v>
      </c>
      <c r="CD67" s="287"/>
      <c r="CE67" s="278"/>
      <c r="CF67" s="268"/>
      <c r="CI67" s="158">
        <v>0</v>
      </c>
      <c r="CJ67" s="343">
        <v>1651.6562074264157</v>
      </c>
      <c r="CK67" s="343">
        <v>2409.4673320252027</v>
      </c>
      <c r="CL67" s="343">
        <v>2533.6868816493879</v>
      </c>
      <c r="CM67" s="487">
        <v>2531.8472094156355</v>
      </c>
      <c r="CN67" s="487">
        <v>3145.7209013750448</v>
      </c>
      <c r="CO67" s="495">
        <v>-222.72499999999999</v>
      </c>
      <c r="CP67" s="299"/>
      <c r="CQ67" s="489">
        <v>0</v>
      </c>
      <c r="CR67" s="489">
        <v>0</v>
      </c>
    </row>
    <row r="68" spans="1:96" x14ac:dyDescent="0.2">
      <c r="A68" s="154">
        <v>214</v>
      </c>
      <c r="B68" s="156" t="s">
        <v>102</v>
      </c>
      <c r="C68" s="337">
        <v>12528</v>
      </c>
      <c r="D68" s="276">
        <v>21.75</v>
      </c>
      <c r="E68" s="185"/>
      <c r="G68" s="278">
        <v>15665.47082</v>
      </c>
      <c r="H68" s="278">
        <v>98737.756549999991</v>
      </c>
      <c r="I68" s="278"/>
      <c r="J68" s="278">
        <v>40388.62801</v>
      </c>
      <c r="K68" s="278">
        <v>5355.6623399999999</v>
      </c>
      <c r="L68" s="278">
        <v>4322.36852</v>
      </c>
      <c r="M68" s="278">
        <v>50066.658869999999</v>
      </c>
      <c r="N68" s="278">
        <v>37714.949000000001</v>
      </c>
      <c r="O68" s="278">
        <v>17.77826</v>
      </c>
      <c r="P68" s="278">
        <v>404.04536999999999</v>
      </c>
      <c r="Q68" s="278">
        <v>1109.2766899999999</v>
      </c>
      <c r="R68" s="278">
        <v>5.6284700000000001</v>
      </c>
      <c r="S68" s="278">
        <v>5426.7032499999996</v>
      </c>
      <c r="U68" s="278">
        <v>3844.7732999999998</v>
      </c>
      <c r="V68" s="278">
        <v>1706.6552799999999</v>
      </c>
      <c r="W68" s="278">
        <v>0</v>
      </c>
      <c r="X68" s="278">
        <v>3288.5852300000001</v>
      </c>
      <c r="Y68" s="278">
        <v>-12.817350000000001</v>
      </c>
      <c r="Z68" s="278">
        <v>0</v>
      </c>
      <c r="AA68" s="278">
        <v>0</v>
      </c>
      <c r="AB68" s="278">
        <v>3301.4025799999999</v>
      </c>
      <c r="AD68" s="278">
        <v>5571.4235099999996</v>
      </c>
      <c r="AE68" s="157">
        <v>7150.33061</v>
      </c>
      <c r="AF68" s="184">
        <v>16.972080000000002</v>
      </c>
      <c r="AG68" s="278">
        <v>-12257.049080000001</v>
      </c>
      <c r="AH68" s="278">
        <v>529.19399999999996</v>
      </c>
      <c r="AI68" s="184">
        <v>1791.3441200000002</v>
      </c>
      <c r="AJ68" s="278">
        <v>4346.1763000000001</v>
      </c>
      <c r="AL68" s="278">
        <v>59421.469859999997</v>
      </c>
      <c r="AM68" s="184">
        <v>-36.752379999999995</v>
      </c>
      <c r="AN68" s="278">
        <v>1128.8731299999999</v>
      </c>
      <c r="AO68" s="355">
        <v>12394</v>
      </c>
      <c r="AP68" s="344">
        <v>9.11</v>
      </c>
      <c r="AQ68" s="462"/>
      <c r="AS68" s="469">
        <v>15119.38977</v>
      </c>
      <c r="AT68" s="278">
        <v>46289.69382</v>
      </c>
      <c r="AU68" s="464"/>
      <c r="AV68" s="346">
        <v>20973.409239999997</v>
      </c>
      <c r="AW68" s="346">
        <v>3620.8191900000002</v>
      </c>
      <c r="AX68" s="346">
        <v>4466.9613200000003</v>
      </c>
      <c r="AY68" s="346">
        <v>29061.189750000001</v>
      </c>
      <c r="AZ68" s="346">
        <v>10839.329</v>
      </c>
      <c r="BA68" s="278">
        <v>108.93214</v>
      </c>
      <c r="BB68" s="345">
        <v>607.17766000000006</v>
      </c>
      <c r="BC68" s="278">
        <v>1120.7070900000001</v>
      </c>
      <c r="BD68" s="278">
        <v>2.6715999999999998</v>
      </c>
      <c r="BE68" s="346">
        <v>9350.0046700000003</v>
      </c>
      <c r="BG68" s="343">
        <v>4485.6679000000004</v>
      </c>
      <c r="BH68" s="343">
        <v>0</v>
      </c>
      <c r="BI68" s="343">
        <v>0</v>
      </c>
      <c r="BJ68" s="346">
        <v>4864.3367699999999</v>
      </c>
      <c r="BK68" s="343">
        <v>-12.817350000000001</v>
      </c>
      <c r="BL68" s="343">
        <v>0</v>
      </c>
      <c r="BM68" s="343">
        <v>0</v>
      </c>
      <c r="BN68" s="346">
        <v>4877.1541200000001</v>
      </c>
      <c r="BP68" s="346">
        <v>10448.57763</v>
      </c>
      <c r="BQ68" s="318">
        <v>9456.0413499999995</v>
      </c>
      <c r="BR68" s="278">
        <v>106.03667999999999</v>
      </c>
      <c r="BS68" s="475">
        <v>-3991.2711600000002</v>
      </c>
      <c r="BT68" s="278">
        <v>145.78608</v>
      </c>
      <c r="BU68" s="278">
        <v>2158.94965</v>
      </c>
      <c r="BV68" s="345">
        <v>4637.3195999999998</v>
      </c>
      <c r="BX68" s="278">
        <v>55097.249159999999</v>
      </c>
      <c r="BY68" s="483">
        <v>36.370919999999998</v>
      </c>
      <c r="BZ68" s="483">
        <v>-4324.2206999999999</v>
      </c>
      <c r="CA68" s="260"/>
      <c r="CB68" s="347">
        <v>9.1000000000000014</v>
      </c>
      <c r="CC68" s="486">
        <f t="shared" ref="CC68:CC131" si="1">CB68</f>
        <v>9.1000000000000014</v>
      </c>
      <c r="CD68" s="287"/>
      <c r="CE68" s="278"/>
      <c r="CF68" s="268"/>
      <c r="CG68" s="266"/>
      <c r="CI68" s="158">
        <v>0</v>
      </c>
      <c r="CJ68" s="343">
        <v>9322.8021358971</v>
      </c>
      <c r="CK68" s="343">
        <v>10347.767603458018</v>
      </c>
      <c r="CL68" s="343">
        <v>10725.252601416021</v>
      </c>
      <c r="CM68" s="487">
        <v>11005.93301316625</v>
      </c>
      <c r="CN68" s="487">
        <v>12399.140531388621</v>
      </c>
      <c r="CO68" s="495">
        <v>-147.161</v>
      </c>
      <c r="CP68" s="299"/>
      <c r="CQ68" s="489">
        <v>0</v>
      </c>
      <c r="CR68" s="489">
        <v>0</v>
      </c>
    </row>
    <row r="69" spans="1:96" x14ac:dyDescent="0.2">
      <c r="A69" s="154">
        <v>216</v>
      </c>
      <c r="B69" s="156" t="s">
        <v>103</v>
      </c>
      <c r="C69" s="337">
        <v>1269</v>
      </c>
      <c r="D69" s="276">
        <v>21.5</v>
      </c>
      <c r="E69" s="185"/>
      <c r="G69" s="278">
        <v>5372.6394500000006</v>
      </c>
      <c r="H69" s="278">
        <v>16839.295409999999</v>
      </c>
      <c r="I69" s="278"/>
      <c r="J69" s="278">
        <v>3457.0512200000003</v>
      </c>
      <c r="K69" s="278">
        <v>947.59619999999995</v>
      </c>
      <c r="L69" s="278">
        <v>553.62106000000006</v>
      </c>
      <c r="M69" s="278">
        <v>4958.2684800000006</v>
      </c>
      <c r="N69" s="278">
        <v>6448.9684600000001</v>
      </c>
      <c r="O69" s="278">
        <v>4.3466400000000007</v>
      </c>
      <c r="P69" s="278">
        <v>52.084050000000005</v>
      </c>
      <c r="Q69" s="278">
        <v>91.380219999999994</v>
      </c>
      <c r="R69" s="278">
        <v>12.322469999999999</v>
      </c>
      <c r="S69" s="278">
        <v>-28.098680000000002</v>
      </c>
      <c r="U69" s="278">
        <v>1132.82943</v>
      </c>
      <c r="V69" s="278">
        <v>0</v>
      </c>
      <c r="W69" s="278">
        <v>0</v>
      </c>
      <c r="X69" s="278">
        <v>-1160.9281100000001</v>
      </c>
      <c r="Y69" s="278">
        <v>-0.68692999999999993</v>
      </c>
      <c r="Z69" s="278">
        <v>0</v>
      </c>
      <c r="AA69" s="278">
        <v>0</v>
      </c>
      <c r="AB69" s="278">
        <v>-1160.24118</v>
      </c>
      <c r="AD69" s="278">
        <v>6597.315810000001</v>
      </c>
      <c r="AE69" s="157">
        <v>0</v>
      </c>
      <c r="AF69" s="184">
        <v>153.74942000000001</v>
      </c>
      <c r="AG69" s="278">
        <v>-632.85410000000002</v>
      </c>
      <c r="AH69" s="278">
        <v>0</v>
      </c>
      <c r="AI69" s="184">
        <v>0</v>
      </c>
      <c r="AJ69" s="278">
        <v>0</v>
      </c>
      <c r="AL69" s="278">
        <v>9302.795329999999</v>
      </c>
      <c r="AM69" s="184">
        <v>0</v>
      </c>
      <c r="AN69" s="278">
        <v>-221.43414000000001</v>
      </c>
      <c r="AO69" s="355">
        <v>1217</v>
      </c>
      <c r="AP69" s="344">
        <v>8.86</v>
      </c>
      <c r="AQ69" s="462"/>
      <c r="AS69" s="469">
        <v>5558.1085300000004</v>
      </c>
      <c r="AT69" s="278">
        <v>9139.4772899999989</v>
      </c>
      <c r="AU69" s="464"/>
      <c r="AV69" s="346">
        <v>1785.1450400000001</v>
      </c>
      <c r="AW69" s="346">
        <v>553.64364999999998</v>
      </c>
      <c r="AX69" s="346">
        <v>568.74441000000002</v>
      </c>
      <c r="AY69" s="346">
        <v>2907.5331000000001</v>
      </c>
      <c r="AZ69" s="346">
        <v>1144.604</v>
      </c>
      <c r="BA69" s="278">
        <v>114.01092999999999</v>
      </c>
      <c r="BB69" s="345">
        <v>383.89011999999997</v>
      </c>
      <c r="BC69" s="278">
        <v>75</v>
      </c>
      <c r="BD69" s="278">
        <v>5.5730399999999998</v>
      </c>
      <c r="BE69" s="346">
        <v>270.31610999999998</v>
      </c>
      <c r="BG69" s="343">
        <v>1455.2382399999999</v>
      </c>
      <c r="BH69" s="343">
        <v>0</v>
      </c>
      <c r="BI69" s="343">
        <v>0</v>
      </c>
      <c r="BJ69" s="346">
        <v>-1184.9221299999999</v>
      </c>
      <c r="BK69" s="346">
        <v>-0.64729999999999999</v>
      </c>
      <c r="BL69" s="346">
        <v>0</v>
      </c>
      <c r="BM69" s="343">
        <v>0</v>
      </c>
      <c r="BN69" s="346">
        <v>-1184.2748300000001</v>
      </c>
      <c r="BP69" s="346">
        <v>5413.0409499999996</v>
      </c>
      <c r="BQ69" s="318">
        <v>242.98810999999998</v>
      </c>
      <c r="BR69" s="278">
        <v>-27.327999999999999</v>
      </c>
      <c r="BS69" s="475">
        <v>-411.19078000000002</v>
      </c>
      <c r="BT69" s="278">
        <v>17.914849999999998</v>
      </c>
      <c r="BU69" s="278">
        <v>28.75807</v>
      </c>
      <c r="BV69" s="345">
        <v>3364.8565899999999</v>
      </c>
      <c r="BX69" s="278">
        <v>8766.1649999999991</v>
      </c>
      <c r="BY69" s="483">
        <v>59.595709999999997</v>
      </c>
      <c r="BZ69" s="483">
        <v>-512.51199999999994</v>
      </c>
      <c r="CA69" s="260"/>
      <c r="CB69" s="347">
        <v>9.1999999999999993</v>
      </c>
      <c r="CC69" s="486">
        <f t="shared" si="1"/>
        <v>9.1999999999999993</v>
      </c>
      <c r="CD69" s="287"/>
      <c r="CE69" s="278"/>
      <c r="CF69" s="268"/>
      <c r="CI69" s="158">
        <v>0</v>
      </c>
      <c r="CJ69" s="343">
        <v>1109.1225164963525</v>
      </c>
      <c r="CK69" s="343">
        <v>1302.9463066907615</v>
      </c>
      <c r="CL69" s="343">
        <v>1254.0795209889084</v>
      </c>
      <c r="CM69" s="487">
        <v>1227.9506981810528</v>
      </c>
      <c r="CN69" s="487">
        <v>1380.0731993709915</v>
      </c>
      <c r="CO69" s="495">
        <v>-263.52499999999998</v>
      </c>
      <c r="CP69" s="299"/>
      <c r="CQ69" s="489">
        <v>0</v>
      </c>
      <c r="CR69" s="489">
        <v>0</v>
      </c>
    </row>
    <row r="70" spans="1:96" x14ac:dyDescent="0.2">
      <c r="A70" s="154">
        <v>217</v>
      </c>
      <c r="B70" s="156" t="s">
        <v>104</v>
      </c>
      <c r="C70" s="337">
        <v>5352</v>
      </c>
      <c r="D70" s="276">
        <v>21.5</v>
      </c>
      <c r="E70" s="185"/>
      <c r="G70" s="278">
        <v>3055.0284700000002</v>
      </c>
      <c r="H70" s="278">
        <v>40238.827880000004</v>
      </c>
      <c r="I70" s="278"/>
      <c r="J70" s="278">
        <v>17221.646140000001</v>
      </c>
      <c r="K70" s="278">
        <v>1562.3074099999999</v>
      </c>
      <c r="L70" s="278">
        <v>2077.4210800000001</v>
      </c>
      <c r="M70" s="278">
        <v>20861.374629999998</v>
      </c>
      <c r="N70" s="278">
        <v>17260.023590000001</v>
      </c>
      <c r="O70" s="278">
        <v>3.8501300000000001</v>
      </c>
      <c r="P70" s="278">
        <v>35.526000000000003</v>
      </c>
      <c r="Q70" s="278">
        <v>290.86740000000003</v>
      </c>
      <c r="R70" s="278">
        <v>8.9946900000000003</v>
      </c>
      <c r="S70" s="278">
        <v>1274.1626699999999</v>
      </c>
      <c r="U70" s="278">
        <v>1232.9329700000001</v>
      </c>
      <c r="V70" s="278">
        <v>0</v>
      </c>
      <c r="W70" s="278">
        <v>0</v>
      </c>
      <c r="X70" s="278">
        <v>41.229699999999994</v>
      </c>
      <c r="Y70" s="278">
        <v>-47.639900000000004</v>
      </c>
      <c r="Z70" s="278">
        <v>0</v>
      </c>
      <c r="AA70" s="278">
        <v>0</v>
      </c>
      <c r="AB70" s="278">
        <v>88.869600000000005</v>
      </c>
      <c r="AD70" s="278">
        <v>5898.6311399999995</v>
      </c>
      <c r="AE70" s="157">
        <v>1197.1568</v>
      </c>
      <c r="AF70" s="184">
        <v>-77.005870000000002</v>
      </c>
      <c r="AG70" s="278">
        <v>-3416.5171800000003</v>
      </c>
      <c r="AH70" s="278">
        <v>86.784999999999997</v>
      </c>
      <c r="AI70" s="184">
        <v>61.398319999999998</v>
      </c>
      <c r="AJ70" s="278">
        <v>862.9759200000002</v>
      </c>
      <c r="AL70" s="278">
        <v>15200</v>
      </c>
      <c r="AM70" s="184">
        <v>37.1</v>
      </c>
      <c r="AN70" s="278">
        <v>1200</v>
      </c>
      <c r="AO70" s="355">
        <v>5246</v>
      </c>
      <c r="AP70" s="344">
        <v>8.86</v>
      </c>
      <c r="AQ70" s="462"/>
      <c r="AS70" s="469">
        <v>2981.2711200000003</v>
      </c>
      <c r="AT70" s="278">
        <v>18845.482499999998</v>
      </c>
      <c r="AU70" s="464"/>
      <c r="AV70" s="346">
        <v>8812.9799899999998</v>
      </c>
      <c r="AW70" s="346">
        <v>1010.8601</v>
      </c>
      <c r="AX70" s="346">
        <v>3344.9662400000002</v>
      </c>
      <c r="AY70" s="346">
        <v>13168.806329999999</v>
      </c>
      <c r="AZ70" s="346">
        <v>4923.4920000000002</v>
      </c>
      <c r="BA70" s="278">
        <v>22.102990000000002</v>
      </c>
      <c r="BB70" s="345">
        <v>632.85076000000004</v>
      </c>
      <c r="BC70" s="278">
        <v>143.53904999999997</v>
      </c>
      <c r="BD70" s="278">
        <v>46.683410000000002</v>
      </c>
      <c r="BE70" s="346">
        <v>1792.2272499999999</v>
      </c>
      <c r="BG70" s="343">
        <v>1496.12943</v>
      </c>
      <c r="BH70" s="343">
        <v>0</v>
      </c>
      <c r="BI70" s="346">
        <v>0</v>
      </c>
      <c r="BJ70" s="346">
        <v>296.09782000000001</v>
      </c>
      <c r="BK70" s="343">
        <v>0</v>
      </c>
      <c r="BL70" s="343">
        <v>0</v>
      </c>
      <c r="BM70" s="346">
        <v>0</v>
      </c>
      <c r="BN70" s="346">
        <v>296.09782000000001</v>
      </c>
      <c r="BP70" s="346">
        <v>6194.7289599999995</v>
      </c>
      <c r="BQ70" s="318">
        <v>1769.7198000000001</v>
      </c>
      <c r="BR70" s="278">
        <v>-22.507450000000002</v>
      </c>
      <c r="BS70" s="475">
        <v>-7754.6184599999997</v>
      </c>
      <c r="BT70" s="278">
        <v>0</v>
      </c>
      <c r="BU70" s="278">
        <v>72.55116000000001</v>
      </c>
      <c r="BV70" s="345">
        <v>387.26296000000002</v>
      </c>
      <c r="BX70" s="278">
        <v>20900</v>
      </c>
      <c r="BY70" s="483">
        <v>42.919489999999996</v>
      </c>
      <c r="BZ70" s="483">
        <v>5700</v>
      </c>
      <c r="CA70" s="260"/>
      <c r="CB70" s="347">
        <v>8.9</v>
      </c>
      <c r="CC70" s="486">
        <f t="shared" si="1"/>
        <v>8.9</v>
      </c>
      <c r="CD70" s="287"/>
      <c r="CE70" s="278"/>
      <c r="CF70" s="268"/>
      <c r="CI70" s="158">
        <v>0</v>
      </c>
      <c r="CJ70" s="343">
        <v>4583.2464487367588</v>
      </c>
      <c r="CK70" s="343">
        <v>5054.3160323693564</v>
      </c>
      <c r="CL70" s="343">
        <v>5365.2157481075774</v>
      </c>
      <c r="CM70" s="487">
        <v>5570.5981293382647</v>
      </c>
      <c r="CN70" s="487">
        <v>5970.2122270968057</v>
      </c>
      <c r="CO70" s="495">
        <v>110.34399999999999</v>
      </c>
      <c r="CP70" s="299"/>
      <c r="CQ70" s="489">
        <v>86.367020000000011</v>
      </c>
      <c r="CR70" s="489">
        <v>78.032429999999991</v>
      </c>
    </row>
    <row r="71" spans="1:96" x14ac:dyDescent="0.2">
      <c r="A71" s="154">
        <v>218</v>
      </c>
      <c r="B71" s="156" t="s">
        <v>105</v>
      </c>
      <c r="C71" s="337">
        <v>1200</v>
      </c>
      <c r="D71" s="276">
        <v>22.5</v>
      </c>
      <c r="E71" s="185"/>
      <c r="G71" s="278">
        <v>1219.5532900000001</v>
      </c>
      <c r="H71" s="278">
        <v>10437.840880000002</v>
      </c>
      <c r="I71" s="278"/>
      <c r="J71" s="278">
        <v>3419.0307699999998</v>
      </c>
      <c r="K71" s="278">
        <v>553.38162999999997</v>
      </c>
      <c r="L71" s="278">
        <v>299.94698999999997</v>
      </c>
      <c r="M71" s="278">
        <v>4272.3593899999996</v>
      </c>
      <c r="N71" s="278">
        <v>5648.9489999999996</v>
      </c>
      <c r="O71" s="278">
        <v>3.5999999999999997E-4</v>
      </c>
      <c r="P71" s="278">
        <v>12.526719999999999</v>
      </c>
      <c r="Q71" s="278">
        <v>37.539580000000001</v>
      </c>
      <c r="R71" s="278">
        <v>0.63924000000000003</v>
      </c>
      <c r="S71" s="278">
        <v>727.39478000000008</v>
      </c>
      <c r="U71" s="278">
        <v>309.63528000000002</v>
      </c>
      <c r="V71" s="278">
        <v>0</v>
      </c>
      <c r="W71" s="278">
        <v>0</v>
      </c>
      <c r="X71" s="278">
        <v>417.7595</v>
      </c>
      <c r="Y71" s="278">
        <v>0</v>
      </c>
      <c r="Z71" s="278">
        <v>0</v>
      </c>
      <c r="AA71" s="278">
        <v>0</v>
      </c>
      <c r="AB71" s="278">
        <v>417.7595</v>
      </c>
      <c r="AD71" s="278">
        <v>3526.7243599999997</v>
      </c>
      <c r="AE71" s="157">
        <v>733.48066000000006</v>
      </c>
      <c r="AF71" s="184">
        <v>6.0858800000000004</v>
      </c>
      <c r="AG71" s="278">
        <v>-181.40347</v>
      </c>
      <c r="AH71" s="278">
        <v>5.7</v>
      </c>
      <c r="AI71" s="184">
        <v>6.22661</v>
      </c>
      <c r="AJ71" s="278">
        <v>2967.5481400000003</v>
      </c>
      <c r="AL71" s="278">
        <v>1430.83</v>
      </c>
      <c r="AM71" s="184">
        <v>0</v>
      </c>
      <c r="AN71" s="278">
        <v>-269.02600000000001</v>
      </c>
      <c r="AO71" s="355">
        <v>1188</v>
      </c>
      <c r="AP71" s="344">
        <v>9.86</v>
      </c>
      <c r="AQ71" s="462"/>
      <c r="AS71" s="469">
        <v>1014.92147</v>
      </c>
      <c r="AT71" s="278">
        <v>4024.5909500000002</v>
      </c>
      <c r="AU71" s="464"/>
      <c r="AV71" s="346">
        <v>2034.6099299999998</v>
      </c>
      <c r="AW71" s="346">
        <v>305.66224</v>
      </c>
      <c r="AX71" s="346">
        <v>304.91566999999998</v>
      </c>
      <c r="AY71" s="346">
        <v>2645.1878400000001</v>
      </c>
      <c r="AZ71" s="346">
        <v>1185.616</v>
      </c>
      <c r="BA71" s="278">
        <v>1.1E-4</v>
      </c>
      <c r="BB71" s="345">
        <v>25.806979999999999</v>
      </c>
      <c r="BC71" s="278">
        <v>5.5819999999999999</v>
      </c>
      <c r="BD71" s="278">
        <v>0.10174</v>
      </c>
      <c r="BE71" s="346">
        <v>800.80775000000006</v>
      </c>
      <c r="BG71" s="343">
        <v>295.76445000000001</v>
      </c>
      <c r="BH71" s="343">
        <v>0</v>
      </c>
      <c r="BI71" s="343">
        <v>31.13373</v>
      </c>
      <c r="BJ71" s="346">
        <v>473.90957000000003</v>
      </c>
      <c r="BK71" s="343">
        <v>0</v>
      </c>
      <c r="BL71" s="343">
        <v>0</v>
      </c>
      <c r="BM71" s="343">
        <v>0</v>
      </c>
      <c r="BN71" s="346">
        <v>473.90957000000003</v>
      </c>
      <c r="BP71" s="346">
        <v>4000.63393</v>
      </c>
      <c r="BQ71" s="318">
        <v>771.68154000000004</v>
      </c>
      <c r="BR71" s="278">
        <v>2.00752</v>
      </c>
      <c r="BS71" s="475">
        <v>-500.11739</v>
      </c>
      <c r="BT71" s="278">
        <v>0</v>
      </c>
      <c r="BU71" s="278">
        <v>344.12473999999997</v>
      </c>
      <c r="BV71" s="345">
        <v>2414.9944300000002</v>
      </c>
      <c r="BX71" s="278">
        <v>1191.796</v>
      </c>
      <c r="BY71" s="483">
        <v>0</v>
      </c>
      <c r="BZ71" s="483">
        <v>-239.03399999999999</v>
      </c>
      <c r="CA71" s="260"/>
      <c r="CB71" s="347">
        <v>9.8000000000000007</v>
      </c>
      <c r="CC71" s="486">
        <f t="shared" si="1"/>
        <v>9.8000000000000007</v>
      </c>
      <c r="CD71" s="287"/>
      <c r="CE71" s="278"/>
      <c r="CF71" s="268"/>
      <c r="CI71" s="158">
        <v>0</v>
      </c>
      <c r="CJ71" s="343">
        <v>979.22304462248599</v>
      </c>
      <c r="CK71" s="343">
        <v>1140.6333108442532</v>
      </c>
      <c r="CL71" s="343">
        <v>1272.7854573436302</v>
      </c>
      <c r="CM71" s="487">
        <v>1328.1703873693159</v>
      </c>
      <c r="CN71" s="487">
        <v>1545.3577953585827</v>
      </c>
      <c r="CO71" s="495">
        <v>-277.53199999999998</v>
      </c>
      <c r="CP71" s="299"/>
      <c r="CQ71" s="489">
        <v>0</v>
      </c>
      <c r="CR71" s="489">
        <v>0</v>
      </c>
    </row>
    <row r="72" spans="1:96" x14ac:dyDescent="0.2">
      <c r="A72" s="154">
        <v>224</v>
      </c>
      <c r="B72" s="156" t="s">
        <v>106</v>
      </c>
      <c r="C72" s="337">
        <v>8603</v>
      </c>
      <c r="D72" s="276">
        <v>21.25</v>
      </c>
      <c r="E72" s="185"/>
      <c r="G72" s="278">
        <v>7146.93192</v>
      </c>
      <c r="H72" s="278">
        <v>59305.963479999999</v>
      </c>
      <c r="I72" s="278"/>
      <c r="J72" s="278">
        <v>31013.553820000001</v>
      </c>
      <c r="K72" s="278">
        <v>1982.4744099999998</v>
      </c>
      <c r="L72" s="278">
        <v>2391.7522899999999</v>
      </c>
      <c r="M72" s="278">
        <v>35387.78052</v>
      </c>
      <c r="N72" s="278">
        <v>22198.172999999999</v>
      </c>
      <c r="O72" s="278">
        <v>45.774740000000001</v>
      </c>
      <c r="P72" s="278">
        <v>246.52235000000002</v>
      </c>
      <c r="Q72" s="278">
        <v>256.26297</v>
      </c>
      <c r="R72" s="278">
        <v>94.677109999999999</v>
      </c>
      <c r="S72" s="278">
        <v>5387.7602100000004</v>
      </c>
      <c r="U72" s="278">
        <v>2893.1876299999999</v>
      </c>
      <c r="V72" s="278">
        <v>0</v>
      </c>
      <c r="W72" s="278">
        <v>0</v>
      </c>
      <c r="X72" s="278">
        <v>2494.57258</v>
      </c>
      <c r="Y72" s="278">
        <v>0</v>
      </c>
      <c r="Z72" s="278">
        <v>0</v>
      </c>
      <c r="AA72" s="278">
        <v>0</v>
      </c>
      <c r="AB72" s="278">
        <v>2494.57258</v>
      </c>
      <c r="AD72" s="278">
        <v>2000.0123500000002</v>
      </c>
      <c r="AE72" s="157">
        <v>5173.3161500000006</v>
      </c>
      <c r="AF72" s="184">
        <v>-214.44406000000001</v>
      </c>
      <c r="AG72" s="278">
        <v>-1314.4363899999998</v>
      </c>
      <c r="AH72" s="278">
        <v>0</v>
      </c>
      <c r="AI72" s="184">
        <v>234.3655</v>
      </c>
      <c r="AJ72" s="278">
        <v>2841.3442099999997</v>
      </c>
      <c r="AL72" s="278">
        <v>50795.248</v>
      </c>
      <c r="AM72" s="184">
        <v>0</v>
      </c>
      <c r="AN72" s="278">
        <v>-5105.91518</v>
      </c>
      <c r="AO72" s="355">
        <v>8581</v>
      </c>
      <c r="AP72" s="344">
        <v>8.61</v>
      </c>
      <c r="AQ72" s="462"/>
      <c r="AS72" s="469">
        <v>7428.0630000000001</v>
      </c>
      <c r="AT72" s="278">
        <v>26781.321339999999</v>
      </c>
      <c r="AU72" s="464"/>
      <c r="AV72" s="346">
        <v>15042.989659999999</v>
      </c>
      <c r="AW72" s="346">
        <v>1173.9148799999998</v>
      </c>
      <c r="AX72" s="346">
        <v>2486.67679</v>
      </c>
      <c r="AY72" s="346">
        <v>18703.581329999997</v>
      </c>
      <c r="AZ72" s="346">
        <v>5647.3860000000004</v>
      </c>
      <c r="BA72" s="278">
        <v>205.83918</v>
      </c>
      <c r="BB72" s="345">
        <v>1284.7051299999998</v>
      </c>
      <c r="BC72" s="278">
        <v>1189.0544199999999</v>
      </c>
      <c r="BD72" s="278">
        <v>11.00253</v>
      </c>
      <c r="BE72" s="346">
        <v>5096.8949299999995</v>
      </c>
      <c r="BG72" s="343">
        <v>2888.6251099999999</v>
      </c>
      <c r="BH72" s="343">
        <v>0</v>
      </c>
      <c r="BI72" s="343">
        <v>0</v>
      </c>
      <c r="BJ72" s="346">
        <v>2208.26982</v>
      </c>
      <c r="BK72" s="343">
        <v>0</v>
      </c>
      <c r="BL72" s="343">
        <v>0</v>
      </c>
      <c r="BM72" s="343">
        <v>0</v>
      </c>
      <c r="BN72" s="346">
        <v>2208.26982</v>
      </c>
      <c r="BP72" s="346">
        <v>4207.6866799999998</v>
      </c>
      <c r="BQ72" s="318">
        <v>3486.6013599999997</v>
      </c>
      <c r="BR72" s="278">
        <v>-1610.29357</v>
      </c>
      <c r="BS72" s="475">
        <v>-2531.9391600000004</v>
      </c>
      <c r="BT72" s="278">
        <v>0</v>
      </c>
      <c r="BU72" s="278">
        <v>2690.7673199999999</v>
      </c>
      <c r="BV72" s="345">
        <v>1333.62968</v>
      </c>
      <c r="BX72" s="278">
        <v>45650</v>
      </c>
      <c r="BY72" s="483">
        <v>0</v>
      </c>
      <c r="BZ72" s="483">
        <v>-5145.2479999999996</v>
      </c>
      <c r="CA72" s="260"/>
      <c r="CB72" s="347">
        <v>8.6</v>
      </c>
      <c r="CC72" s="486">
        <f t="shared" si="1"/>
        <v>8.6</v>
      </c>
      <c r="CD72" s="287"/>
      <c r="CE72" s="278"/>
      <c r="CF72" s="268"/>
      <c r="CG72" s="266"/>
      <c r="CI72" s="158">
        <v>0</v>
      </c>
      <c r="CJ72" s="343">
        <v>6203.9461160543133</v>
      </c>
      <c r="CK72" s="343">
        <v>7245.3072758415865</v>
      </c>
      <c r="CL72" s="343">
        <v>7081.7491006157552</v>
      </c>
      <c r="CM72" s="487">
        <v>6727.4805123157121</v>
      </c>
      <c r="CN72" s="487">
        <v>7271.9836015772398</v>
      </c>
      <c r="CO72" s="495">
        <v>-294.73500000000001</v>
      </c>
      <c r="CP72" s="299"/>
      <c r="CQ72" s="489">
        <v>0</v>
      </c>
      <c r="CR72" s="489">
        <v>0</v>
      </c>
    </row>
    <row r="73" spans="1:96" x14ac:dyDescent="0.2">
      <c r="A73" s="154">
        <v>226</v>
      </c>
      <c r="B73" s="156" t="s">
        <v>107</v>
      </c>
      <c r="C73" s="337">
        <v>3665</v>
      </c>
      <c r="D73" s="276">
        <v>21.5</v>
      </c>
      <c r="E73" s="185"/>
      <c r="G73" s="278">
        <v>4485.5499800000007</v>
      </c>
      <c r="H73" s="278">
        <v>33206.689789999997</v>
      </c>
      <c r="I73" s="278"/>
      <c r="J73" s="278">
        <v>10757.89559</v>
      </c>
      <c r="K73" s="278">
        <v>2222.7343100000003</v>
      </c>
      <c r="L73" s="278">
        <v>1252.1689099999999</v>
      </c>
      <c r="M73" s="278">
        <v>14232.79881</v>
      </c>
      <c r="N73" s="278">
        <v>16911.125</v>
      </c>
      <c r="O73" s="278">
        <v>2.9021300000000001</v>
      </c>
      <c r="P73" s="278">
        <v>9.9239699999999988</v>
      </c>
      <c r="Q73" s="278">
        <v>40.220440000000004</v>
      </c>
      <c r="R73" s="278">
        <v>0.63000999999999996</v>
      </c>
      <c r="S73" s="278">
        <v>2613.6576400000004</v>
      </c>
      <c r="U73" s="278">
        <v>1721.26368</v>
      </c>
      <c r="V73" s="278">
        <v>0</v>
      </c>
      <c r="W73" s="278">
        <v>0</v>
      </c>
      <c r="X73" s="278">
        <v>892.39395999999999</v>
      </c>
      <c r="Y73" s="278">
        <v>0</v>
      </c>
      <c r="Z73" s="278">
        <v>0</v>
      </c>
      <c r="AA73" s="278">
        <v>0</v>
      </c>
      <c r="AB73" s="278">
        <v>892.39395999999999</v>
      </c>
      <c r="AD73" s="278">
        <v>3919.8970399999998</v>
      </c>
      <c r="AE73" s="157">
        <v>1935.97316</v>
      </c>
      <c r="AF73" s="184">
        <v>-677.68448000000001</v>
      </c>
      <c r="AG73" s="278">
        <v>-5423.1</v>
      </c>
      <c r="AH73" s="278">
        <v>17.663919999999997</v>
      </c>
      <c r="AI73" s="184">
        <v>59.390999999999998</v>
      </c>
      <c r="AJ73" s="278">
        <v>7677.6813999999995</v>
      </c>
      <c r="AL73" s="278">
        <v>12999.999999999998</v>
      </c>
      <c r="AM73" s="184">
        <v>48.833709999999996</v>
      </c>
      <c r="AN73" s="278">
        <v>0</v>
      </c>
      <c r="AO73" s="355">
        <v>3625</v>
      </c>
      <c r="AP73" s="344">
        <v>8.8600000000000012</v>
      </c>
      <c r="AQ73" s="462"/>
      <c r="AS73" s="469">
        <v>3964.2562900000003</v>
      </c>
      <c r="AT73" s="278">
        <v>14161.8519</v>
      </c>
      <c r="AU73" s="464"/>
      <c r="AV73" s="346">
        <v>5261.4991300000002</v>
      </c>
      <c r="AW73" s="346">
        <v>1308.17209</v>
      </c>
      <c r="AX73" s="346">
        <v>1709.0795500000002</v>
      </c>
      <c r="AY73" s="346">
        <v>8278.7507699999987</v>
      </c>
      <c r="AZ73" s="346">
        <v>4475.3959999999997</v>
      </c>
      <c r="BA73" s="278">
        <v>8.0019200000000001</v>
      </c>
      <c r="BB73" s="345">
        <v>434.31806</v>
      </c>
      <c r="BC73" s="278">
        <v>58.991620000000005</v>
      </c>
      <c r="BD73" s="278">
        <v>2.32755</v>
      </c>
      <c r="BE73" s="346">
        <v>2291.6208999999999</v>
      </c>
      <c r="BG73" s="343">
        <v>1987.5366399999998</v>
      </c>
      <c r="BH73" s="343">
        <v>2</v>
      </c>
      <c r="BI73" s="343">
        <v>99.019940000000005</v>
      </c>
      <c r="BJ73" s="346">
        <v>207.06432000000001</v>
      </c>
      <c r="BK73" s="343">
        <v>0</v>
      </c>
      <c r="BL73" s="343">
        <v>0</v>
      </c>
      <c r="BM73" s="346">
        <v>0</v>
      </c>
      <c r="BN73" s="346">
        <v>207.06432000000001</v>
      </c>
      <c r="BP73" s="346">
        <v>4126.9613600000002</v>
      </c>
      <c r="BQ73" s="318">
        <v>1982.34509</v>
      </c>
      <c r="BR73" s="278">
        <v>-212.25586999999999</v>
      </c>
      <c r="BS73" s="475">
        <v>-3817.6037299999998</v>
      </c>
      <c r="BT73" s="278">
        <v>1610.1867299999999</v>
      </c>
      <c r="BU73" s="278">
        <v>231.851</v>
      </c>
      <c r="BV73" s="345">
        <v>6815.0649000000003</v>
      </c>
      <c r="BX73" s="278">
        <v>13510.47638</v>
      </c>
      <c r="BY73" s="483">
        <v>8.8245000000000005</v>
      </c>
      <c r="BZ73" s="483">
        <v>510.47638000000001</v>
      </c>
      <c r="CA73" s="260"/>
      <c r="CB73" s="347">
        <v>8.7999999999999989</v>
      </c>
      <c r="CC73" s="486">
        <f t="shared" si="1"/>
        <v>8.7999999999999989</v>
      </c>
      <c r="CD73" s="287"/>
      <c r="CE73" s="278"/>
      <c r="CF73" s="268"/>
      <c r="CI73" s="158">
        <v>0</v>
      </c>
      <c r="CJ73" s="343">
        <v>3770.0490699086258</v>
      </c>
      <c r="CK73" s="343">
        <v>3875.0356723133996</v>
      </c>
      <c r="CL73" s="343">
        <v>3934.3776292606508</v>
      </c>
      <c r="CM73" s="487">
        <v>3884.9400547790592</v>
      </c>
      <c r="CN73" s="487">
        <v>4480.6545895236368</v>
      </c>
      <c r="CO73" s="495">
        <v>103.58799999999999</v>
      </c>
      <c r="CP73" s="299"/>
      <c r="CQ73" s="489">
        <v>158.30504999999999</v>
      </c>
      <c r="CR73" s="489">
        <v>104.72180999999999</v>
      </c>
    </row>
    <row r="74" spans="1:96" x14ac:dyDescent="0.2">
      <c r="A74" s="154">
        <v>230</v>
      </c>
      <c r="B74" s="156" t="s">
        <v>108</v>
      </c>
      <c r="C74" s="337">
        <v>2240</v>
      </c>
      <c r="D74" s="276">
        <v>20.5</v>
      </c>
      <c r="E74" s="185"/>
      <c r="G74" s="278">
        <v>1446.13158</v>
      </c>
      <c r="H74" s="278">
        <v>17586.613010000001</v>
      </c>
      <c r="I74" s="278"/>
      <c r="J74" s="278">
        <v>5734.7764699999998</v>
      </c>
      <c r="K74" s="278">
        <v>995.03703000000007</v>
      </c>
      <c r="L74" s="278">
        <v>757.03078000000005</v>
      </c>
      <c r="M74" s="278">
        <v>7486.8442800000003</v>
      </c>
      <c r="N74" s="278">
        <v>8839.9519999999993</v>
      </c>
      <c r="O74" s="278">
        <v>5.5414099999999999</v>
      </c>
      <c r="P74" s="278">
        <v>22.925319999999999</v>
      </c>
      <c r="Q74" s="278">
        <v>273.1848</v>
      </c>
      <c r="R74" s="278">
        <v>2.9999999999999997E-4</v>
      </c>
      <c r="S74" s="278">
        <v>442.11543999999998</v>
      </c>
      <c r="U74" s="278">
        <v>808.57325000000003</v>
      </c>
      <c r="V74" s="278">
        <v>0</v>
      </c>
      <c r="W74" s="278">
        <v>0</v>
      </c>
      <c r="X74" s="278">
        <v>-366.45780999999999</v>
      </c>
      <c r="Y74" s="278">
        <v>0</v>
      </c>
      <c r="Z74" s="278">
        <v>0</v>
      </c>
      <c r="AA74" s="278">
        <v>0</v>
      </c>
      <c r="AB74" s="278">
        <v>-366.45780999999999</v>
      </c>
      <c r="AD74" s="278">
        <v>8027.2105100000008</v>
      </c>
      <c r="AE74" s="157">
        <v>432.91578000000004</v>
      </c>
      <c r="AF74" s="184">
        <v>-9.1996599999999997</v>
      </c>
      <c r="AG74" s="278">
        <v>-364.23984000000002</v>
      </c>
      <c r="AH74" s="278">
        <v>0</v>
      </c>
      <c r="AI74" s="184">
        <v>271.01259999999996</v>
      </c>
      <c r="AJ74" s="278">
        <v>2387.2608999999998</v>
      </c>
      <c r="AL74" s="278">
        <v>1736.8440000000005</v>
      </c>
      <c r="AM74" s="184">
        <v>0</v>
      </c>
      <c r="AN74" s="278">
        <v>-347.36799999999999</v>
      </c>
      <c r="AO74" s="355">
        <v>2216</v>
      </c>
      <c r="AP74" s="344">
        <v>7.86</v>
      </c>
      <c r="AQ74" s="462"/>
      <c r="AS74" s="469">
        <v>1607.99775</v>
      </c>
      <c r="AT74" s="278">
        <v>7439.66453</v>
      </c>
      <c r="AU74" s="464"/>
      <c r="AV74" s="346">
        <v>2860.3678199999999</v>
      </c>
      <c r="AW74" s="346">
        <v>586.60861999999997</v>
      </c>
      <c r="AX74" s="346">
        <v>737.65147000000002</v>
      </c>
      <c r="AY74" s="346">
        <v>4184.6279100000002</v>
      </c>
      <c r="AZ74" s="346">
        <v>1707.7070000000001</v>
      </c>
      <c r="BA74" s="278">
        <v>46.301870000000001</v>
      </c>
      <c r="BB74" s="345">
        <v>18.608499999999999</v>
      </c>
      <c r="BC74" s="278">
        <v>254.64801</v>
      </c>
      <c r="BD74" s="278">
        <v>0.11551</v>
      </c>
      <c r="BE74" s="346">
        <v>342.89400000000001</v>
      </c>
      <c r="BG74" s="343">
        <v>821.83652000000006</v>
      </c>
      <c r="BH74" s="343">
        <v>0</v>
      </c>
      <c r="BI74" s="343">
        <v>25.68591</v>
      </c>
      <c r="BJ74" s="346">
        <v>-504.62842999999998</v>
      </c>
      <c r="BK74" s="346">
        <v>0</v>
      </c>
      <c r="BL74" s="343">
        <v>0</v>
      </c>
      <c r="BM74" s="343">
        <v>0</v>
      </c>
      <c r="BN74" s="346">
        <v>-504.62842999999998</v>
      </c>
      <c r="BP74" s="346">
        <v>7522.5820800000001</v>
      </c>
      <c r="BQ74" s="318">
        <v>317.74147999999997</v>
      </c>
      <c r="BR74" s="278">
        <v>0.53339000000000003</v>
      </c>
      <c r="BS74" s="475">
        <v>-607.92188999999996</v>
      </c>
      <c r="BT74" s="278">
        <v>5.81691</v>
      </c>
      <c r="BU74" s="278">
        <v>430.66899999999998</v>
      </c>
      <c r="BV74" s="345">
        <v>1965.6679899999999</v>
      </c>
      <c r="BX74" s="278">
        <v>1389.4759999999999</v>
      </c>
      <c r="BY74" s="483">
        <v>-7.38</v>
      </c>
      <c r="BZ74" s="483">
        <v>-347.36799999999999</v>
      </c>
      <c r="CA74" s="260"/>
      <c r="CB74" s="347">
        <v>8.9</v>
      </c>
      <c r="CC74" s="486">
        <f t="shared" si="1"/>
        <v>8.9</v>
      </c>
      <c r="CD74" s="287"/>
      <c r="CE74" s="278"/>
      <c r="CF74" s="268"/>
      <c r="CI74" s="158">
        <v>0</v>
      </c>
      <c r="CJ74" s="343">
        <v>2069.8542239187113</v>
      </c>
      <c r="CK74" s="343">
        <v>2293.9477485842744</v>
      </c>
      <c r="CL74" s="343">
        <v>2280.9868252143369</v>
      </c>
      <c r="CM74" s="487">
        <v>2341.0149148004284</v>
      </c>
      <c r="CN74" s="487">
        <v>2656.9911180633676</v>
      </c>
      <c r="CO74" s="495">
        <v>-340.44900000000001</v>
      </c>
      <c r="CP74" s="299"/>
      <c r="CQ74" s="489">
        <v>0</v>
      </c>
      <c r="CR74" s="489">
        <v>0</v>
      </c>
    </row>
    <row r="75" spans="1:96" x14ac:dyDescent="0.2">
      <c r="A75" s="154">
        <v>231</v>
      </c>
      <c r="B75" s="156" t="s">
        <v>109</v>
      </c>
      <c r="C75" s="337">
        <v>1256</v>
      </c>
      <c r="D75" s="276">
        <v>23</v>
      </c>
      <c r="E75" s="185"/>
      <c r="G75" s="278">
        <v>3139.5599300000003</v>
      </c>
      <c r="H75" s="278">
        <v>12901.32509</v>
      </c>
      <c r="I75" s="278"/>
      <c r="J75" s="278">
        <v>5245.7164899999998</v>
      </c>
      <c r="K75" s="278">
        <v>1292.3266299999998</v>
      </c>
      <c r="L75" s="278">
        <v>880.96564000000001</v>
      </c>
      <c r="M75" s="278">
        <v>7419.0087599999997</v>
      </c>
      <c r="N75" s="278">
        <v>3062.64</v>
      </c>
      <c r="O75" s="278">
        <v>13.336709999999998</v>
      </c>
      <c r="P75" s="278">
        <v>30.78886</v>
      </c>
      <c r="Q75" s="278">
        <v>35.498280000000001</v>
      </c>
      <c r="R75" s="278">
        <v>21.424439999999997</v>
      </c>
      <c r="S75" s="278">
        <v>716.50529000000006</v>
      </c>
      <c r="U75" s="278">
        <v>658.44054000000006</v>
      </c>
      <c r="V75" s="278">
        <v>0</v>
      </c>
      <c r="W75" s="278">
        <v>0</v>
      </c>
      <c r="X75" s="278">
        <v>58.064749999999997</v>
      </c>
      <c r="Y75" s="278">
        <v>0</v>
      </c>
      <c r="Z75" s="278">
        <v>0</v>
      </c>
      <c r="AA75" s="278">
        <v>15</v>
      </c>
      <c r="AB75" s="278">
        <v>43.064749999999997</v>
      </c>
      <c r="AD75" s="278">
        <v>3627.4795099999997</v>
      </c>
      <c r="AE75" s="157">
        <v>177.56810999999999</v>
      </c>
      <c r="AF75" s="184">
        <v>-538.93718000000001</v>
      </c>
      <c r="AG75" s="278">
        <v>-625.33425</v>
      </c>
      <c r="AH75" s="278">
        <v>13.55</v>
      </c>
      <c r="AI75" s="184">
        <v>1692.22857</v>
      </c>
      <c r="AJ75" s="278">
        <v>502.76359999999994</v>
      </c>
      <c r="AL75" s="278">
        <v>7242.1610099999998</v>
      </c>
      <c r="AM75" s="184">
        <v>35</v>
      </c>
      <c r="AN75" s="278">
        <v>471.25518</v>
      </c>
      <c r="AO75" s="355">
        <v>1208</v>
      </c>
      <c r="AP75" s="344">
        <v>10.359999999999998</v>
      </c>
      <c r="AQ75" s="462"/>
      <c r="AS75" s="469">
        <v>2790.5747299999998</v>
      </c>
      <c r="AT75" s="278">
        <v>6643.22444</v>
      </c>
      <c r="AU75" s="464"/>
      <c r="AV75" s="346">
        <v>2513.9560099999999</v>
      </c>
      <c r="AW75" s="346">
        <v>1064.7146299999999</v>
      </c>
      <c r="AX75" s="346">
        <v>907.45802000000003</v>
      </c>
      <c r="AY75" s="346">
        <v>4486.1286600000003</v>
      </c>
      <c r="AZ75" s="346">
        <v>-1046.6210000000001</v>
      </c>
      <c r="BA75" s="278">
        <v>9.5087499999999991</v>
      </c>
      <c r="BB75" s="345">
        <v>89.629440000000002</v>
      </c>
      <c r="BC75" s="278">
        <v>46.444669999999995</v>
      </c>
      <c r="BD75" s="278">
        <v>18.076319999999999</v>
      </c>
      <c r="BE75" s="346">
        <v>-464.89438999999999</v>
      </c>
      <c r="BG75" s="343">
        <v>665.60033999999996</v>
      </c>
      <c r="BH75" s="343">
        <v>0</v>
      </c>
      <c r="BI75" s="343">
        <v>0</v>
      </c>
      <c r="BJ75" s="346">
        <v>-1130.4947299999999</v>
      </c>
      <c r="BK75" s="346">
        <v>0</v>
      </c>
      <c r="BL75" s="346">
        <v>0</v>
      </c>
      <c r="BM75" s="343">
        <v>0</v>
      </c>
      <c r="BN75" s="346">
        <v>-1130.4947299999999</v>
      </c>
      <c r="BP75" s="346">
        <v>2568.1189800000002</v>
      </c>
      <c r="BQ75" s="318">
        <v>-529.42876999999999</v>
      </c>
      <c r="BR75" s="278">
        <v>-64.534379999999999</v>
      </c>
      <c r="BS75" s="475">
        <v>-656.12588000000005</v>
      </c>
      <c r="BT75" s="278">
        <v>0</v>
      </c>
      <c r="BU75" s="278">
        <v>339.04240000000004</v>
      </c>
      <c r="BV75" s="345">
        <v>185.90467999999998</v>
      </c>
      <c r="BX75" s="278">
        <v>6635.3444500000005</v>
      </c>
      <c r="BY75" s="483">
        <v>0</v>
      </c>
      <c r="BZ75" s="483">
        <v>-606.81656000000009</v>
      </c>
      <c r="CA75" s="260"/>
      <c r="CB75" s="347">
        <v>10.3</v>
      </c>
      <c r="CC75" s="486">
        <f t="shared" si="1"/>
        <v>10.3</v>
      </c>
      <c r="CD75" s="287"/>
      <c r="CE75" s="278"/>
      <c r="CF75" s="268"/>
      <c r="CG75" s="266"/>
      <c r="CI75" s="158">
        <v>0</v>
      </c>
      <c r="CJ75" s="343">
        <v>-922.2694056961011</v>
      </c>
      <c r="CK75" s="343">
        <v>-863.79762264092597</v>
      </c>
      <c r="CL75" s="343">
        <v>-932.72126998576414</v>
      </c>
      <c r="CM75" s="487">
        <v>-921.87575508697262</v>
      </c>
      <c r="CN75" s="487">
        <v>-862.79421391286974</v>
      </c>
      <c r="CO75" s="495">
        <v>-9.1639999999999997</v>
      </c>
      <c r="CP75" s="299"/>
      <c r="CQ75" s="489">
        <v>0</v>
      </c>
      <c r="CR75" s="489">
        <v>0</v>
      </c>
    </row>
    <row r="76" spans="1:96" x14ac:dyDescent="0.2">
      <c r="A76" s="154">
        <v>232</v>
      </c>
      <c r="B76" s="156" t="s">
        <v>110</v>
      </c>
      <c r="C76" s="337">
        <v>12750</v>
      </c>
      <c r="D76" s="276">
        <v>22</v>
      </c>
      <c r="E76" s="185"/>
      <c r="G76" s="278">
        <v>49505.05242</v>
      </c>
      <c r="H76" s="278">
        <v>138900.00584</v>
      </c>
      <c r="I76" s="278"/>
      <c r="J76" s="278">
        <v>40811.723479999993</v>
      </c>
      <c r="K76" s="278">
        <v>6636.0900899999997</v>
      </c>
      <c r="L76" s="278">
        <v>3827.152</v>
      </c>
      <c r="M76" s="278">
        <v>51274.96557</v>
      </c>
      <c r="N76" s="278">
        <v>45876.807000000001</v>
      </c>
      <c r="O76" s="278">
        <v>13.54158</v>
      </c>
      <c r="P76" s="278">
        <v>560.99759999999992</v>
      </c>
      <c r="Q76" s="278">
        <v>1291.55286</v>
      </c>
      <c r="R76" s="278">
        <v>1155.7661699999999</v>
      </c>
      <c r="S76" s="278">
        <v>7413.4213399999999</v>
      </c>
      <c r="U76" s="278">
        <v>5176.2645499999999</v>
      </c>
      <c r="V76" s="278">
        <v>0</v>
      </c>
      <c r="W76" s="278">
        <v>0</v>
      </c>
      <c r="X76" s="278">
        <v>2237.15679</v>
      </c>
      <c r="Y76" s="278">
        <v>-33.716269999999994</v>
      </c>
      <c r="Z76" s="278">
        <v>0</v>
      </c>
      <c r="AA76" s="278">
        <v>0</v>
      </c>
      <c r="AB76" s="278">
        <v>2270.8730599999999</v>
      </c>
      <c r="AD76" s="278">
        <v>-2816.2551000000003</v>
      </c>
      <c r="AE76" s="157">
        <v>7376.9119299999993</v>
      </c>
      <c r="AF76" s="184">
        <v>-36.509410000000003</v>
      </c>
      <c r="AG76" s="278">
        <v>-8282.6455399999995</v>
      </c>
      <c r="AH76" s="278">
        <v>31.5</v>
      </c>
      <c r="AI76" s="184">
        <v>79.88642999999999</v>
      </c>
      <c r="AJ76" s="278">
        <v>23223.841980000001</v>
      </c>
      <c r="AL76" s="278">
        <v>65867.456279999999</v>
      </c>
      <c r="AM76" s="184">
        <v>36.627720000000004</v>
      </c>
      <c r="AN76" s="278">
        <v>-959.52518000000009</v>
      </c>
      <c r="AO76" s="355">
        <v>12618</v>
      </c>
      <c r="AP76" s="344">
        <v>9.36</v>
      </c>
      <c r="AQ76" s="462"/>
      <c r="AS76" s="469">
        <v>9056.57251</v>
      </c>
      <c r="AT76" s="278">
        <v>42381.074430000001</v>
      </c>
      <c r="AU76" s="464"/>
      <c r="AV76" s="346">
        <v>20764.587769999998</v>
      </c>
      <c r="AW76" s="346">
        <v>4381.9595899999995</v>
      </c>
      <c r="AX76" s="346">
        <v>4095.8452900000002</v>
      </c>
      <c r="AY76" s="346">
        <v>29242.392649999998</v>
      </c>
      <c r="AZ76" s="346">
        <v>10094.005999999999</v>
      </c>
      <c r="BA76" s="278">
        <v>57.84704</v>
      </c>
      <c r="BB76" s="345">
        <v>1563.90174</v>
      </c>
      <c r="BC76" s="278">
        <v>5092.8122699999994</v>
      </c>
      <c r="BD76" s="278">
        <v>711.65473999999995</v>
      </c>
      <c r="BE76" s="346">
        <v>8961.7013299999999</v>
      </c>
      <c r="BG76" s="343">
        <v>5360.9909699999998</v>
      </c>
      <c r="BH76" s="343">
        <v>336.51478000000003</v>
      </c>
      <c r="BI76" s="343">
        <v>0</v>
      </c>
      <c r="BJ76" s="346">
        <v>3937.22514</v>
      </c>
      <c r="BK76" s="346">
        <v>-32.924039999999998</v>
      </c>
      <c r="BL76" s="343">
        <v>0</v>
      </c>
      <c r="BM76" s="343">
        <v>0</v>
      </c>
      <c r="BN76" s="346">
        <v>3970.1491800000003</v>
      </c>
      <c r="BP76" s="346">
        <v>1153.89408</v>
      </c>
      <c r="BQ76" s="318">
        <v>9246.3888900000002</v>
      </c>
      <c r="BR76" s="278">
        <v>-51.827220000000004</v>
      </c>
      <c r="BS76" s="475">
        <v>-9159.7659999999996</v>
      </c>
      <c r="BT76" s="278">
        <v>56</v>
      </c>
      <c r="BU76" s="278">
        <v>3499.7819800000002</v>
      </c>
      <c r="BV76" s="345">
        <v>29815.187249999999</v>
      </c>
      <c r="BX76" s="278">
        <v>71574.599099999992</v>
      </c>
      <c r="BY76" s="483">
        <v>30.138020000000001</v>
      </c>
      <c r="BZ76" s="483">
        <v>5707.14282</v>
      </c>
      <c r="CA76" s="260"/>
      <c r="CB76" s="347">
        <v>9.4</v>
      </c>
      <c r="CC76" s="486">
        <f t="shared" si="1"/>
        <v>9.4</v>
      </c>
      <c r="CD76" s="287"/>
      <c r="CE76" s="278"/>
      <c r="CF76" s="268"/>
      <c r="CG76" s="266"/>
      <c r="CI76" s="158">
        <v>940</v>
      </c>
      <c r="CJ76" s="343">
        <v>9819.3877129518642</v>
      </c>
      <c r="CK76" s="343">
        <v>10719.915841594115</v>
      </c>
      <c r="CL76" s="343">
        <v>11312.834714410581</v>
      </c>
      <c r="CM76" s="487">
        <v>10999.513933932647</v>
      </c>
      <c r="CN76" s="487">
        <v>11954.545372570976</v>
      </c>
      <c r="CO76" s="495">
        <v>-534.68899999999996</v>
      </c>
      <c r="CP76" s="299"/>
      <c r="CQ76" s="489">
        <v>68.27152000000001</v>
      </c>
      <c r="CR76" s="489">
        <v>74.70177000000001</v>
      </c>
    </row>
    <row r="77" spans="1:96" x14ac:dyDescent="0.2">
      <c r="A77" s="154">
        <v>233</v>
      </c>
      <c r="B77" s="156" t="s">
        <v>111</v>
      </c>
      <c r="C77" s="337">
        <v>15116</v>
      </c>
      <c r="D77" s="276">
        <v>21.75</v>
      </c>
      <c r="E77" s="185"/>
      <c r="G77" s="278">
        <v>7468.4880300000004</v>
      </c>
      <c r="H77" s="278">
        <v>115646.39960999999</v>
      </c>
      <c r="I77" s="278"/>
      <c r="J77" s="278">
        <v>49831.685250000002</v>
      </c>
      <c r="K77" s="278">
        <v>5327.9535599999999</v>
      </c>
      <c r="L77" s="278">
        <v>3853.0027200000004</v>
      </c>
      <c r="M77" s="278">
        <v>59012.641530000001</v>
      </c>
      <c r="N77" s="278">
        <v>56738.286999999997</v>
      </c>
      <c r="O77" s="278">
        <v>312.71431999999999</v>
      </c>
      <c r="P77" s="278">
        <v>290.38790999999998</v>
      </c>
      <c r="Q77" s="278">
        <v>723.01361999999995</v>
      </c>
      <c r="R77" s="278">
        <v>31.438490000000002</v>
      </c>
      <c r="S77" s="278">
        <v>8353.1421599999994</v>
      </c>
      <c r="U77" s="278">
        <v>6510.5410700000002</v>
      </c>
      <c r="V77" s="278">
        <v>0</v>
      </c>
      <c r="W77" s="278">
        <v>0</v>
      </c>
      <c r="X77" s="278">
        <v>1842.6010900000001</v>
      </c>
      <c r="Y77" s="278">
        <v>-161.38883999999999</v>
      </c>
      <c r="Z77" s="278">
        <v>0</v>
      </c>
      <c r="AA77" s="278">
        <v>0</v>
      </c>
      <c r="AB77" s="278">
        <v>2003.98993</v>
      </c>
      <c r="AD77" s="278">
        <v>11488.854069999999</v>
      </c>
      <c r="AE77" s="157">
        <v>8264.0657699999992</v>
      </c>
      <c r="AF77" s="184">
        <v>-89.076390000000004</v>
      </c>
      <c r="AG77" s="278">
        <v>-12668.122539999998</v>
      </c>
      <c r="AH77" s="278">
        <v>109.3028</v>
      </c>
      <c r="AI77" s="184">
        <v>131.47592</v>
      </c>
      <c r="AJ77" s="278">
        <v>16679.537730000004</v>
      </c>
      <c r="AL77" s="278">
        <v>67546.590649999998</v>
      </c>
      <c r="AM77" s="184">
        <v>817.46902</v>
      </c>
      <c r="AN77" s="278">
        <v>261.42345999999998</v>
      </c>
      <c r="AO77" s="355">
        <v>15165</v>
      </c>
      <c r="AP77" s="344">
        <v>9.11</v>
      </c>
      <c r="AQ77" s="462"/>
      <c r="AS77" s="469">
        <v>7920.0106699999997</v>
      </c>
      <c r="AT77" s="278">
        <v>47229.756270000005</v>
      </c>
      <c r="AU77" s="464"/>
      <c r="AV77" s="346">
        <v>25715.478010000003</v>
      </c>
      <c r="AW77" s="346">
        <v>3465.6525499999998</v>
      </c>
      <c r="AX77" s="346">
        <v>3991.0003400000001</v>
      </c>
      <c r="AY77" s="346">
        <v>33172.130899999996</v>
      </c>
      <c r="AZ77" s="346">
        <v>17195.324000000001</v>
      </c>
      <c r="BA77" s="278">
        <v>206.50062</v>
      </c>
      <c r="BB77" s="345">
        <v>1521.42563</v>
      </c>
      <c r="BC77" s="278">
        <v>515.40072999999995</v>
      </c>
      <c r="BD77" s="278">
        <v>240.49268000000001</v>
      </c>
      <c r="BE77" s="346">
        <v>10107.2099</v>
      </c>
      <c r="BG77" s="343">
        <v>8507.0574499999984</v>
      </c>
      <c r="BH77" s="346">
        <v>536.16492000000005</v>
      </c>
      <c r="BI77" s="343">
        <v>0</v>
      </c>
      <c r="BJ77" s="346">
        <v>2136.3173700000002</v>
      </c>
      <c r="BK77" s="343">
        <v>-144.38628</v>
      </c>
      <c r="BL77" s="343">
        <v>0</v>
      </c>
      <c r="BM77" s="343">
        <v>0</v>
      </c>
      <c r="BN77" s="346">
        <v>2280.7036499999999</v>
      </c>
      <c r="BP77" s="346">
        <v>13769.557719999999</v>
      </c>
      <c r="BQ77" s="318">
        <v>10462.414060000001</v>
      </c>
      <c r="BR77" s="278">
        <v>-180.96076000000002</v>
      </c>
      <c r="BS77" s="475">
        <v>-16882.152429999998</v>
      </c>
      <c r="BT77" s="278">
        <v>96.1</v>
      </c>
      <c r="BU77" s="278">
        <v>5711.8081500000008</v>
      </c>
      <c r="BV77" s="345">
        <v>16940.497309999999</v>
      </c>
      <c r="BX77" s="278">
        <v>67039.223109999992</v>
      </c>
      <c r="BY77" s="483">
        <v>148.36194</v>
      </c>
      <c r="BZ77" s="483">
        <v>-507.36753999999996</v>
      </c>
      <c r="CA77" s="260"/>
      <c r="CB77" s="347">
        <v>9.1</v>
      </c>
      <c r="CC77" s="486">
        <f t="shared" si="1"/>
        <v>9.1</v>
      </c>
      <c r="CD77" s="287"/>
      <c r="CE77" s="278"/>
      <c r="CF77" s="268"/>
      <c r="CI77" s="158">
        <v>0</v>
      </c>
      <c r="CJ77" s="343">
        <v>15307.313768292086</v>
      </c>
      <c r="CK77" s="343">
        <v>15812.769063004082</v>
      </c>
      <c r="CL77" s="343">
        <v>16707.397769370764</v>
      </c>
      <c r="CM77" s="487">
        <v>16408.175232117963</v>
      </c>
      <c r="CN77" s="487">
        <v>18220.882741417961</v>
      </c>
      <c r="CO77" s="495">
        <v>160.82</v>
      </c>
      <c r="CP77" s="299"/>
      <c r="CQ77" s="489">
        <v>66.223669999999998</v>
      </c>
      <c r="CR77" s="489">
        <v>89.517560000000003</v>
      </c>
    </row>
    <row r="78" spans="1:96" x14ac:dyDescent="0.2">
      <c r="A78" s="154">
        <v>235</v>
      </c>
      <c r="B78" s="156" t="s">
        <v>112</v>
      </c>
      <c r="C78" s="337">
        <v>10284</v>
      </c>
      <c r="D78" s="276">
        <v>17</v>
      </c>
      <c r="E78" s="185"/>
      <c r="G78" s="278">
        <v>16553.20191</v>
      </c>
      <c r="H78" s="278">
        <v>87859.790959999998</v>
      </c>
      <c r="I78" s="278"/>
      <c r="J78" s="278">
        <v>80268.532689999993</v>
      </c>
      <c r="K78" s="278">
        <v>2500.5828099999999</v>
      </c>
      <c r="L78" s="278">
        <v>4866.6554699999997</v>
      </c>
      <c r="M78" s="278">
        <v>87635.770969999998</v>
      </c>
      <c r="N78" s="278">
        <v>3926.4097499999998</v>
      </c>
      <c r="O78" s="278">
        <v>227.42829999999998</v>
      </c>
      <c r="P78" s="278">
        <v>8.9999999999999992E-5</v>
      </c>
      <c r="Q78" s="278">
        <v>181.72920999999999</v>
      </c>
      <c r="R78" s="278">
        <v>36.21134</v>
      </c>
      <c r="S78" s="278">
        <v>20628.53775</v>
      </c>
      <c r="U78" s="278">
        <v>8469.3805800000009</v>
      </c>
      <c r="V78" s="278">
        <v>0</v>
      </c>
      <c r="W78" s="278">
        <v>0</v>
      </c>
      <c r="X78" s="278">
        <v>12159.15717</v>
      </c>
      <c r="Y78" s="278">
        <v>0</v>
      </c>
      <c r="Z78" s="278">
        <v>10000</v>
      </c>
      <c r="AA78" s="278">
        <v>0</v>
      </c>
      <c r="AB78" s="278">
        <v>2159.15717</v>
      </c>
      <c r="AD78" s="278">
        <v>55765.817630000005</v>
      </c>
      <c r="AE78" s="157">
        <v>19758.011420000003</v>
      </c>
      <c r="AF78" s="184">
        <v>-870.52632999999992</v>
      </c>
      <c r="AG78" s="278">
        <v>-12563.874800000001</v>
      </c>
      <c r="AH78" s="278">
        <v>172.91253</v>
      </c>
      <c r="AI78" s="184">
        <v>917.72639000000004</v>
      </c>
      <c r="AJ78" s="278">
        <v>20418.877820000002</v>
      </c>
      <c r="AL78" s="278">
        <v>0</v>
      </c>
      <c r="AM78" s="184">
        <v>96.053740000000005</v>
      </c>
      <c r="AN78" s="278">
        <v>0</v>
      </c>
      <c r="AO78" s="355">
        <v>10270</v>
      </c>
      <c r="AP78" s="344">
        <v>4.3600000000000003</v>
      </c>
      <c r="AQ78" s="462"/>
      <c r="AS78" s="469">
        <v>13593.269980000001</v>
      </c>
      <c r="AT78" s="278">
        <v>52715.566989999999</v>
      </c>
      <c r="AU78" s="464"/>
      <c r="AV78" s="346">
        <v>25326.46328</v>
      </c>
      <c r="AW78" s="346">
        <v>1695.2006000000001</v>
      </c>
      <c r="AX78" s="346">
        <v>4882.2659699999995</v>
      </c>
      <c r="AY78" s="346">
        <v>31903.92985</v>
      </c>
      <c r="AZ78" s="346">
        <v>18007.076079999999</v>
      </c>
      <c r="BA78" s="278">
        <v>664.17856999999992</v>
      </c>
      <c r="BB78" s="345">
        <v>0</v>
      </c>
      <c r="BC78" s="278">
        <v>123.17755</v>
      </c>
      <c r="BD78" s="278">
        <v>7.1417000000000002</v>
      </c>
      <c r="BE78" s="346">
        <v>11568.923339999999</v>
      </c>
      <c r="BG78" s="343">
        <v>8981.0427</v>
      </c>
      <c r="BH78" s="343">
        <v>0</v>
      </c>
      <c r="BI78" s="343">
        <v>0</v>
      </c>
      <c r="BJ78" s="346">
        <v>2587.8806400000003</v>
      </c>
      <c r="BK78" s="343">
        <v>0</v>
      </c>
      <c r="BL78" s="343">
        <v>0</v>
      </c>
      <c r="BM78" s="343">
        <v>0</v>
      </c>
      <c r="BN78" s="346">
        <v>2587.8806400000003</v>
      </c>
      <c r="BP78" s="346">
        <v>58353.698270000008</v>
      </c>
      <c r="BQ78" s="318">
        <v>11004.63867</v>
      </c>
      <c r="BR78" s="278">
        <v>-564.28467000000001</v>
      </c>
      <c r="BS78" s="475">
        <v>-9309.8938100000014</v>
      </c>
      <c r="BT78" s="278">
        <v>156.04588000000001</v>
      </c>
      <c r="BU78" s="278">
        <v>651.58060999999998</v>
      </c>
      <c r="BV78" s="345">
        <v>20702.446960000001</v>
      </c>
      <c r="BX78" s="278">
        <v>0</v>
      </c>
      <c r="BY78" s="483">
        <v>42</v>
      </c>
      <c r="BZ78" s="483">
        <v>0</v>
      </c>
      <c r="CA78" s="260"/>
      <c r="CB78" s="347">
        <v>4.4000000000000004</v>
      </c>
      <c r="CC78" s="486">
        <f t="shared" si="1"/>
        <v>4.4000000000000004</v>
      </c>
      <c r="CD78" s="287"/>
      <c r="CE78" s="278"/>
      <c r="CF78" s="268"/>
      <c r="CI78" s="158">
        <v>0</v>
      </c>
      <c r="CJ78" s="343">
        <v>21531.6257043449</v>
      </c>
      <c r="CK78" s="343">
        <v>21910.385497838972</v>
      </c>
      <c r="CL78" s="343">
        <v>21958.331511307755</v>
      </c>
      <c r="CM78" s="487">
        <v>22207.222357059483</v>
      </c>
      <c r="CN78" s="487">
        <v>22894.446137514427</v>
      </c>
      <c r="CO78" s="495">
        <v>2935.6089999999999</v>
      </c>
      <c r="CP78" s="299"/>
      <c r="CQ78" s="489">
        <v>0</v>
      </c>
      <c r="CR78" s="489">
        <v>0</v>
      </c>
    </row>
    <row r="79" spans="1:96" x14ac:dyDescent="0.2">
      <c r="A79" s="154">
        <v>236</v>
      </c>
      <c r="B79" s="156" t="s">
        <v>113</v>
      </c>
      <c r="C79" s="337">
        <v>4198</v>
      </c>
      <c r="D79" s="276">
        <v>22</v>
      </c>
      <c r="E79" s="185"/>
      <c r="G79" s="278">
        <v>6928.4937</v>
      </c>
      <c r="H79" s="278">
        <v>33730.361060000003</v>
      </c>
      <c r="I79" s="278"/>
      <c r="J79" s="278">
        <v>13671.583070000001</v>
      </c>
      <c r="K79" s="278">
        <v>1154.18831</v>
      </c>
      <c r="L79" s="278">
        <v>1167.80672</v>
      </c>
      <c r="M79" s="278">
        <v>15993.578099999999</v>
      </c>
      <c r="N79" s="278">
        <v>14765.439</v>
      </c>
      <c r="O79" s="278">
        <v>23.23921</v>
      </c>
      <c r="P79" s="278">
        <v>200.18592999999998</v>
      </c>
      <c r="Q79" s="278">
        <v>240.07959</v>
      </c>
      <c r="R79" s="278">
        <v>0.96028000000000002</v>
      </c>
      <c r="S79" s="278">
        <v>4019.32233</v>
      </c>
      <c r="U79" s="278">
        <v>1675.66031</v>
      </c>
      <c r="V79" s="278">
        <v>0</v>
      </c>
      <c r="W79" s="278">
        <v>0</v>
      </c>
      <c r="X79" s="278">
        <v>2343.6620200000002</v>
      </c>
      <c r="Y79" s="278">
        <v>0</v>
      </c>
      <c r="Z79" s="278">
        <v>0</v>
      </c>
      <c r="AA79" s="278">
        <v>0</v>
      </c>
      <c r="AB79" s="278">
        <v>2343.6620200000002</v>
      </c>
      <c r="AD79" s="278">
        <v>2641.6090099999997</v>
      </c>
      <c r="AE79" s="157">
        <v>3961.3716899999999</v>
      </c>
      <c r="AF79" s="184">
        <v>-57.95064</v>
      </c>
      <c r="AG79" s="278">
        <v>-2117.58268</v>
      </c>
      <c r="AH79" s="278">
        <v>0</v>
      </c>
      <c r="AI79" s="184">
        <v>86.488860000000003</v>
      </c>
      <c r="AJ79" s="278">
        <v>1099.2468000000001</v>
      </c>
      <c r="AL79" s="278">
        <v>32107.32012</v>
      </c>
      <c r="AM79" s="184">
        <v>0</v>
      </c>
      <c r="AN79" s="278">
        <v>-155.32348000000002</v>
      </c>
      <c r="AO79" s="355">
        <v>4137</v>
      </c>
      <c r="AP79" s="344">
        <v>9.36</v>
      </c>
      <c r="AQ79" s="462"/>
      <c r="AS79" s="469">
        <v>3360.1567700000001</v>
      </c>
      <c r="AT79" s="278">
        <v>15375.07554</v>
      </c>
      <c r="AU79" s="464"/>
      <c r="AV79" s="346">
        <v>6842.0138699999998</v>
      </c>
      <c r="AW79" s="346">
        <v>783.94538999999997</v>
      </c>
      <c r="AX79" s="346">
        <v>1129.6880000000001</v>
      </c>
      <c r="AY79" s="346">
        <v>8755.6472599999997</v>
      </c>
      <c r="AZ79" s="346">
        <v>5695.0360000000001</v>
      </c>
      <c r="BA79" s="278">
        <v>0</v>
      </c>
      <c r="BB79" s="345">
        <v>553.19754</v>
      </c>
      <c r="BC79" s="278">
        <v>114.21260000000001</v>
      </c>
      <c r="BD79" s="278">
        <v>5.8593900000000003</v>
      </c>
      <c r="BE79" s="346">
        <v>1990.9201599999999</v>
      </c>
      <c r="BG79" s="343">
        <v>1730.60751</v>
      </c>
      <c r="BH79" s="343">
        <v>0</v>
      </c>
      <c r="BI79" s="343">
        <v>0</v>
      </c>
      <c r="BJ79" s="346">
        <v>260.31265000000002</v>
      </c>
      <c r="BK79" s="343">
        <v>0</v>
      </c>
      <c r="BL79" s="343">
        <v>0</v>
      </c>
      <c r="BM79" s="343">
        <v>0</v>
      </c>
      <c r="BN79" s="346">
        <v>260.31265000000002</v>
      </c>
      <c r="BP79" s="346">
        <v>2901.9216599999995</v>
      </c>
      <c r="BQ79" s="318">
        <v>1946.69516</v>
      </c>
      <c r="BR79" s="278">
        <v>-44.225000000000001</v>
      </c>
      <c r="BS79" s="475">
        <v>-1362.03513</v>
      </c>
      <c r="BT79" s="278">
        <v>102.92107</v>
      </c>
      <c r="BU79" s="278">
        <v>77.003059999999991</v>
      </c>
      <c r="BV79" s="345">
        <v>2712.8154800000002</v>
      </c>
      <c r="BX79" s="278">
        <v>33447.655640000004</v>
      </c>
      <c r="BY79" s="483">
        <v>-528.21643999999992</v>
      </c>
      <c r="BZ79" s="483">
        <v>1340.3355200000001</v>
      </c>
      <c r="CA79" s="260"/>
      <c r="CB79" s="347">
        <v>9.4</v>
      </c>
      <c r="CC79" s="486">
        <f t="shared" si="1"/>
        <v>9.4</v>
      </c>
      <c r="CD79" s="287"/>
      <c r="CE79" s="278"/>
      <c r="CF79" s="268"/>
      <c r="CG79" s="266"/>
      <c r="CI79" s="158">
        <v>500</v>
      </c>
      <c r="CJ79" s="343">
        <v>5547.8963077682984</v>
      </c>
      <c r="CK79" s="343">
        <v>5617.731707186138</v>
      </c>
      <c r="CL79" s="343">
        <v>6068.8742151142269</v>
      </c>
      <c r="CM79" s="487">
        <v>6314.8426062084818</v>
      </c>
      <c r="CN79" s="487">
        <v>6701.0873077496753</v>
      </c>
      <c r="CO79" s="495">
        <v>782.00099999999998</v>
      </c>
      <c r="CP79" s="299"/>
      <c r="CQ79" s="489">
        <v>0</v>
      </c>
      <c r="CR79" s="489">
        <v>0</v>
      </c>
    </row>
    <row r="80" spans="1:96" x14ac:dyDescent="0.2">
      <c r="A80" s="154">
        <v>239</v>
      </c>
      <c r="B80" s="156" t="s">
        <v>114</v>
      </c>
      <c r="C80" s="337">
        <v>2029</v>
      </c>
      <c r="D80" s="276">
        <v>20.5</v>
      </c>
      <c r="E80" s="185"/>
      <c r="G80" s="278">
        <v>2860.9717700000001</v>
      </c>
      <c r="H80" s="278">
        <v>18535.889620000002</v>
      </c>
      <c r="I80" s="278"/>
      <c r="J80" s="278">
        <v>6155.7352199999996</v>
      </c>
      <c r="K80" s="278">
        <v>1460.46165</v>
      </c>
      <c r="L80" s="278">
        <v>513.21451000000002</v>
      </c>
      <c r="M80" s="278">
        <v>8129.4113799999996</v>
      </c>
      <c r="N80" s="278">
        <v>8570.357</v>
      </c>
      <c r="O80" s="278">
        <v>2.4916300000000002</v>
      </c>
      <c r="P80" s="278">
        <v>37.328690000000002</v>
      </c>
      <c r="Q80" s="278">
        <v>240.11914000000002</v>
      </c>
      <c r="R80" s="278">
        <v>0.80161000000000004</v>
      </c>
      <c r="S80" s="278">
        <v>1229.3309999999999</v>
      </c>
      <c r="U80" s="278">
        <v>773.31025999999997</v>
      </c>
      <c r="V80" s="278">
        <v>0</v>
      </c>
      <c r="W80" s="278">
        <v>4.5</v>
      </c>
      <c r="X80" s="278">
        <v>451.52073999999999</v>
      </c>
      <c r="Y80" s="278">
        <v>0</v>
      </c>
      <c r="Z80" s="278">
        <v>0</v>
      </c>
      <c r="AA80" s="278">
        <v>0</v>
      </c>
      <c r="AB80" s="278">
        <v>451.52073999999999</v>
      </c>
      <c r="AD80" s="278">
        <v>1049.5483900000002</v>
      </c>
      <c r="AE80" s="157">
        <v>1224.4010000000001</v>
      </c>
      <c r="AF80" s="184">
        <v>-0.43</v>
      </c>
      <c r="AG80" s="278">
        <v>-935.55113000000006</v>
      </c>
      <c r="AH80" s="278">
        <v>0</v>
      </c>
      <c r="AI80" s="184">
        <v>78</v>
      </c>
      <c r="AJ80" s="278">
        <v>1608.95425</v>
      </c>
      <c r="AL80" s="278">
        <v>5725</v>
      </c>
      <c r="AM80" s="184">
        <v>22.803999999999998</v>
      </c>
      <c r="AN80" s="278">
        <v>-1300</v>
      </c>
      <c r="AO80" s="355">
        <v>2035</v>
      </c>
      <c r="AP80" s="344">
        <v>7.86</v>
      </c>
      <c r="AQ80" s="462"/>
      <c r="AS80" s="469">
        <v>2023.49242</v>
      </c>
      <c r="AT80" s="278">
        <v>7572.2302699999991</v>
      </c>
      <c r="AU80" s="464"/>
      <c r="AV80" s="346">
        <v>2752.0832300000002</v>
      </c>
      <c r="AW80" s="346">
        <v>1486.3165200000001</v>
      </c>
      <c r="AX80" s="346">
        <v>602.7436899999999</v>
      </c>
      <c r="AY80" s="346">
        <v>4841.1434400000007</v>
      </c>
      <c r="AZ80" s="346">
        <v>627.58799999999997</v>
      </c>
      <c r="BA80" s="278">
        <v>4.8452900000000003</v>
      </c>
      <c r="BB80" s="345">
        <v>218.67671999999999</v>
      </c>
      <c r="BC80" s="278">
        <v>244.91198</v>
      </c>
      <c r="BD80" s="278">
        <v>0.76772000000000007</v>
      </c>
      <c r="BE80" s="346">
        <v>-49.693580000000004</v>
      </c>
      <c r="BG80" s="343">
        <v>715.62307999999996</v>
      </c>
      <c r="BH80" s="346">
        <v>0</v>
      </c>
      <c r="BI80" s="346">
        <v>0</v>
      </c>
      <c r="BJ80" s="346">
        <v>-765.31666000000007</v>
      </c>
      <c r="BK80" s="343">
        <v>0</v>
      </c>
      <c r="BL80" s="343">
        <v>0</v>
      </c>
      <c r="BM80" s="343">
        <v>0</v>
      </c>
      <c r="BN80" s="346">
        <v>-765.31666000000007</v>
      </c>
      <c r="BP80" s="346">
        <v>-213.05523000000005</v>
      </c>
      <c r="BQ80" s="318">
        <v>250.30642</v>
      </c>
      <c r="BR80" s="278">
        <v>300</v>
      </c>
      <c r="BS80" s="475">
        <v>-1287.8155099999999</v>
      </c>
      <c r="BT80" s="278">
        <v>60</v>
      </c>
      <c r="BU80" s="278">
        <v>0</v>
      </c>
      <c r="BV80" s="345">
        <v>337.12707</v>
      </c>
      <c r="BX80" s="278">
        <v>6075</v>
      </c>
      <c r="BY80" s="483">
        <v>22.803999999999998</v>
      </c>
      <c r="BZ80" s="483">
        <v>350</v>
      </c>
      <c r="CA80" s="260"/>
      <c r="CB80" s="347">
        <v>7.9</v>
      </c>
      <c r="CC80" s="486">
        <f t="shared" si="1"/>
        <v>7.9</v>
      </c>
      <c r="CD80" s="287"/>
      <c r="CE80" s="278"/>
      <c r="CF80" s="268"/>
      <c r="CI80" s="158">
        <v>0</v>
      </c>
      <c r="CJ80" s="343">
        <v>1270.5641111901216</v>
      </c>
      <c r="CK80" s="343">
        <v>857.57522191210433</v>
      </c>
      <c r="CL80" s="343">
        <v>603.94098400057032</v>
      </c>
      <c r="CM80" s="487">
        <v>669.00172450961804</v>
      </c>
      <c r="CN80" s="487">
        <v>716.6876595156275</v>
      </c>
      <c r="CO80" s="495">
        <v>-400.40300000000002</v>
      </c>
      <c r="CP80" s="299"/>
      <c r="CQ80" s="489">
        <v>0</v>
      </c>
      <c r="CR80" s="489">
        <v>0</v>
      </c>
    </row>
    <row r="81" spans="1:96" x14ac:dyDescent="0.2">
      <c r="A81" s="154">
        <v>240</v>
      </c>
      <c r="B81" s="156" t="s">
        <v>22</v>
      </c>
      <c r="C81" s="337">
        <v>19499</v>
      </c>
      <c r="D81" s="276">
        <v>21.75</v>
      </c>
      <c r="E81" s="185"/>
      <c r="G81" s="278">
        <v>22318.508120000002</v>
      </c>
      <c r="H81" s="278">
        <v>170500.35777999999</v>
      </c>
      <c r="I81" s="278"/>
      <c r="J81" s="278">
        <v>77375.212</v>
      </c>
      <c r="K81" s="278">
        <v>6982.18</v>
      </c>
      <c r="L81" s="278">
        <v>7259.2790000000005</v>
      </c>
      <c r="M81" s="278">
        <v>91616.671000000002</v>
      </c>
      <c r="N81" s="278">
        <v>55631.24</v>
      </c>
      <c r="O81" s="278">
        <v>512.55290000000002</v>
      </c>
      <c r="P81" s="278">
        <v>917.15655000000004</v>
      </c>
      <c r="Q81" s="278">
        <v>1708.86591</v>
      </c>
      <c r="R81" s="278">
        <v>147.64415</v>
      </c>
      <c r="S81" s="278">
        <v>447.68662</v>
      </c>
      <c r="U81" s="278">
        <v>4976.1402900000003</v>
      </c>
      <c r="V81" s="278">
        <v>707.56547</v>
      </c>
      <c r="W81" s="278">
        <v>0</v>
      </c>
      <c r="X81" s="278">
        <v>-3820.8882000000003</v>
      </c>
      <c r="Y81" s="278">
        <v>0</v>
      </c>
      <c r="Z81" s="278">
        <v>0</v>
      </c>
      <c r="AA81" s="278">
        <v>0</v>
      </c>
      <c r="AB81" s="278">
        <v>-3820.8882000000003</v>
      </c>
      <c r="AD81" s="278">
        <v>-18856.628840000001</v>
      </c>
      <c r="AE81" s="157">
        <v>-2156.8586099999998</v>
      </c>
      <c r="AF81" s="184">
        <v>-3872.7491299999997</v>
      </c>
      <c r="AG81" s="278">
        <v>-9892.7659999999996</v>
      </c>
      <c r="AH81" s="278">
        <v>14020</v>
      </c>
      <c r="AI81" s="184">
        <v>741.66462000000001</v>
      </c>
      <c r="AJ81" s="278">
        <v>4411.8930099999998</v>
      </c>
      <c r="AL81" s="278">
        <v>129778.57136000002</v>
      </c>
      <c r="AM81" s="184">
        <v>-514.53574000000003</v>
      </c>
      <c r="AN81" s="278">
        <v>9671.4285600000003</v>
      </c>
      <c r="AO81" s="355">
        <v>19371</v>
      </c>
      <c r="AP81" s="344">
        <v>9.11</v>
      </c>
      <c r="AQ81" s="462"/>
      <c r="AS81" s="469">
        <v>15422.82404</v>
      </c>
      <c r="AT81" s="278">
        <v>58650.3724</v>
      </c>
      <c r="AU81" s="464"/>
      <c r="AV81" s="346">
        <v>39918.516819999997</v>
      </c>
      <c r="AW81" s="346">
        <v>4968.6270000000004</v>
      </c>
      <c r="AX81" s="346">
        <v>8510.7639099999997</v>
      </c>
      <c r="AY81" s="346">
        <v>53397.907729999999</v>
      </c>
      <c r="AZ81" s="346">
        <v>1601.079</v>
      </c>
      <c r="BA81" s="278">
        <v>520.48398999999995</v>
      </c>
      <c r="BB81" s="345">
        <v>2041.5553300000001</v>
      </c>
      <c r="BC81" s="278">
        <v>2688.83086</v>
      </c>
      <c r="BD81" s="278">
        <v>10.603200000000001</v>
      </c>
      <c r="BE81" s="346">
        <v>13015.149710000002</v>
      </c>
      <c r="BG81" s="343">
        <v>5448.6284000000005</v>
      </c>
      <c r="BH81" s="346">
        <v>0</v>
      </c>
      <c r="BI81" s="343">
        <v>0</v>
      </c>
      <c r="BJ81" s="346">
        <v>7566.5213099999992</v>
      </c>
      <c r="BK81" s="343">
        <v>0</v>
      </c>
      <c r="BL81" s="343">
        <v>0</v>
      </c>
      <c r="BM81" s="346">
        <v>0</v>
      </c>
      <c r="BN81" s="346">
        <v>7566.5213099999992</v>
      </c>
      <c r="BP81" s="346">
        <v>-11124.771499999999</v>
      </c>
      <c r="BQ81" s="318">
        <v>11007.25057</v>
      </c>
      <c r="BR81" s="278">
        <v>-2007.89914</v>
      </c>
      <c r="BS81" s="475">
        <v>-5380.37961</v>
      </c>
      <c r="BT81" s="278">
        <v>248.25908999999999</v>
      </c>
      <c r="BU81" s="278">
        <v>2969.7462</v>
      </c>
      <c r="BV81" s="345">
        <v>4863.5581099999999</v>
      </c>
      <c r="BX81" s="278">
        <v>124035.71416</v>
      </c>
      <c r="BY81" s="483">
        <v>-10.923389999999999</v>
      </c>
      <c r="BZ81" s="483">
        <v>-5028.5712000000003</v>
      </c>
      <c r="CA81" s="260"/>
      <c r="CB81" s="347">
        <v>9.6</v>
      </c>
      <c r="CC81" s="486">
        <f t="shared" si="1"/>
        <v>9.6</v>
      </c>
      <c r="CD81" s="287"/>
      <c r="CE81" s="278"/>
      <c r="CF81" s="268"/>
      <c r="CI81" s="158">
        <v>0</v>
      </c>
      <c r="CJ81" s="343">
        <v>-2342.4661152631279</v>
      </c>
      <c r="CK81" s="343">
        <v>-1158.3793522774483</v>
      </c>
      <c r="CL81" s="343">
        <v>-3844.4470372874357</v>
      </c>
      <c r="CM81" s="487">
        <v>-3765.8306073609469</v>
      </c>
      <c r="CN81" s="487">
        <v>-2373.7076708553345</v>
      </c>
      <c r="CO81" s="495">
        <v>224.464</v>
      </c>
      <c r="CP81" s="299"/>
      <c r="CQ81" s="489">
        <v>225.00717</v>
      </c>
      <c r="CR81" s="489">
        <v>86.555019999999999</v>
      </c>
    </row>
    <row r="82" spans="1:96" x14ac:dyDescent="0.2">
      <c r="A82" s="154">
        <v>320</v>
      </c>
      <c r="B82" s="156" t="s">
        <v>115</v>
      </c>
      <c r="C82" s="337">
        <v>6996</v>
      </c>
      <c r="D82" s="276">
        <v>21.5</v>
      </c>
      <c r="E82" s="185"/>
      <c r="G82" s="278">
        <v>11702.78369</v>
      </c>
      <c r="H82" s="278">
        <v>69425.421359999993</v>
      </c>
      <c r="I82" s="278"/>
      <c r="J82" s="278">
        <v>24448.18462</v>
      </c>
      <c r="K82" s="278">
        <v>2061.1450800000002</v>
      </c>
      <c r="L82" s="278">
        <v>4598.1793600000001</v>
      </c>
      <c r="M82" s="278">
        <v>31107.50906</v>
      </c>
      <c r="N82" s="278">
        <v>30254.326000000001</v>
      </c>
      <c r="O82" s="278">
        <v>425.20790999999997</v>
      </c>
      <c r="P82" s="278">
        <v>174.61632</v>
      </c>
      <c r="Q82" s="278">
        <v>8474.0094100000006</v>
      </c>
      <c r="R82" s="278">
        <v>717.30709999999999</v>
      </c>
      <c r="S82" s="278">
        <v>11646.49129</v>
      </c>
      <c r="U82" s="278">
        <v>3158.6271299999999</v>
      </c>
      <c r="V82" s="278">
        <v>0</v>
      </c>
      <c r="W82" s="278">
        <v>0</v>
      </c>
      <c r="X82" s="278">
        <v>8487.864160000001</v>
      </c>
      <c r="Y82" s="278">
        <v>0</v>
      </c>
      <c r="Z82" s="278">
        <v>0</v>
      </c>
      <c r="AA82" s="278">
        <v>-40.032419999999995</v>
      </c>
      <c r="AB82" s="278">
        <v>8527.8965800000005</v>
      </c>
      <c r="AD82" s="278">
        <v>10514.755230000001</v>
      </c>
      <c r="AE82" s="157">
        <v>11519.58776</v>
      </c>
      <c r="AF82" s="184">
        <v>-126.90353</v>
      </c>
      <c r="AG82" s="278">
        <v>-1742.1464599999999</v>
      </c>
      <c r="AH82" s="278">
        <v>-6.4079300000000003</v>
      </c>
      <c r="AI82" s="184">
        <v>283.89422999999999</v>
      </c>
      <c r="AJ82" s="278">
        <v>8098.8534099999997</v>
      </c>
      <c r="AL82" s="278">
        <v>32255.316999999995</v>
      </c>
      <c r="AM82" s="184">
        <v>-2547.7018499999999</v>
      </c>
      <c r="AN82" s="278">
        <v>-6313.8950000000004</v>
      </c>
      <c r="AO82" s="355">
        <v>7030</v>
      </c>
      <c r="AP82" s="344">
        <v>8.86</v>
      </c>
      <c r="AQ82" s="462"/>
      <c r="AS82" s="469">
        <v>6971.0899100000006</v>
      </c>
      <c r="AT82" s="278">
        <v>27196.739170000001</v>
      </c>
      <c r="AU82" s="464"/>
      <c r="AV82" s="346">
        <v>12500.940430000001</v>
      </c>
      <c r="AW82" s="346">
        <v>1393.0380700000001</v>
      </c>
      <c r="AX82" s="346">
        <v>5084.3723499999996</v>
      </c>
      <c r="AY82" s="346">
        <v>18978.350850000003</v>
      </c>
      <c r="AZ82" s="346">
        <v>7652.15</v>
      </c>
      <c r="BA82" s="278">
        <v>490.80101000000002</v>
      </c>
      <c r="BB82" s="345">
        <v>450.73426000000001</v>
      </c>
      <c r="BC82" s="278">
        <v>2526.9398700000002</v>
      </c>
      <c r="BD82" s="278">
        <v>482.19615999999996</v>
      </c>
      <c r="BE82" s="346">
        <v>8489.6620500000008</v>
      </c>
      <c r="BG82" s="343">
        <v>2687.6141499999999</v>
      </c>
      <c r="BH82" s="346">
        <v>0</v>
      </c>
      <c r="BI82" s="346">
        <v>0</v>
      </c>
      <c r="BJ82" s="346">
        <v>5802.0479000000005</v>
      </c>
      <c r="BK82" s="343">
        <v>0</v>
      </c>
      <c r="BL82" s="343">
        <v>0</v>
      </c>
      <c r="BM82" s="346">
        <v>0</v>
      </c>
      <c r="BN82" s="346">
        <v>5802.0479000000005</v>
      </c>
      <c r="BP82" s="346">
        <v>16310.452020000001</v>
      </c>
      <c r="BQ82" s="318">
        <v>8359.5547000000006</v>
      </c>
      <c r="BR82" s="278">
        <v>-128.9196</v>
      </c>
      <c r="BS82" s="475">
        <v>-5697.2720899999995</v>
      </c>
      <c r="BT82" s="278">
        <v>0</v>
      </c>
      <c r="BU82" s="278">
        <v>248.87772000000001</v>
      </c>
      <c r="BV82" s="345">
        <v>1711.46551</v>
      </c>
      <c r="BX82" s="278">
        <v>27491.421999999999</v>
      </c>
      <c r="BY82" s="483">
        <v>-2922.7687700000001</v>
      </c>
      <c r="BZ82" s="483">
        <v>-4863.8950000000004</v>
      </c>
      <c r="CA82" s="260"/>
      <c r="CB82" s="347">
        <v>8.9</v>
      </c>
      <c r="CC82" s="486">
        <f t="shared" si="1"/>
        <v>8.9</v>
      </c>
      <c r="CD82" s="287"/>
      <c r="CE82" s="278"/>
      <c r="CF82" s="268"/>
      <c r="CI82" s="158">
        <v>0</v>
      </c>
      <c r="CJ82" s="343">
        <v>6673.0197869659314</v>
      </c>
      <c r="CK82" s="343">
        <v>7716.2166583461585</v>
      </c>
      <c r="CL82" s="343">
        <v>7205.8193963021531</v>
      </c>
      <c r="CM82" s="487">
        <v>7263.5374194194392</v>
      </c>
      <c r="CN82" s="487">
        <v>8258.9727008611171</v>
      </c>
      <c r="CO82" s="495">
        <v>295.83699999999999</v>
      </c>
      <c r="CP82" s="299"/>
      <c r="CQ82" s="489">
        <v>0</v>
      </c>
      <c r="CR82" s="489">
        <v>0</v>
      </c>
    </row>
    <row r="83" spans="1:96" x14ac:dyDescent="0.2">
      <c r="A83" s="154">
        <v>241</v>
      </c>
      <c r="B83" s="156" t="s">
        <v>116</v>
      </c>
      <c r="C83" s="337">
        <v>7771</v>
      </c>
      <c r="D83" s="276">
        <v>21.25</v>
      </c>
      <c r="E83" s="185"/>
      <c r="G83" s="278">
        <v>4443.6007800000007</v>
      </c>
      <c r="H83" s="278">
        <v>57637.24452</v>
      </c>
      <c r="I83" s="278"/>
      <c r="J83" s="278">
        <v>32894.145940000002</v>
      </c>
      <c r="K83" s="278">
        <v>2154.6916699999997</v>
      </c>
      <c r="L83" s="278">
        <v>4077.85781</v>
      </c>
      <c r="M83" s="278">
        <v>39126.695420000004</v>
      </c>
      <c r="N83" s="278">
        <v>16188.481</v>
      </c>
      <c r="O83" s="278">
        <v>455.50337999999999</v>
      </c>
      <c r="P83" s="278">
        <v>206.33848</v>
      </c>
      <c r="Q83" s="278">
        <v>181.71289999999999</v>
      </c>
      <c r="R83" s="278">
        <v>23.553560000000001</v>
      </c>
      <c r="S83" s="278">
        <v>2325.1947999999998</v>
      </c>
      <c r="U83" s="278">
        <v>1897.6902500000001</v>
      </c>
      <c r="V83" s="278">
        <v>89.125380000000007</v>
      </c>
      <c r="W83" s="278">
        <v>62.993699999999997</v>
      </c>
      <c r="X83" s="278">
        <v>453.63622999999995</v>
      </c>
      <c r="Y83" s="278">
        <v>0</v>
      </c>
      <c r="Z83" s="278">
        <v>0</v>
      </c>
      <c r="AA83" s="278">
        <v>0</v>
      </c>
      <c r="AB83" s="278">
        <v>453.63622999999995</v>
      </c>
      <c r="AD83" s="278">
        <v>5992.1266899999991</v>
      </c>
      <c r="AE83" s="157">
        <v>1395.18804</v>
      </c>
      <c r="AF83" s="184">
        <v>-956.13843999999995</v>
      </c>
      <c r="AG83" s="278">
        <v>-1973.63213</v>
      </c>
      <c r="AH83" s="278">
        <v>93.273179999999996</v>
      </c>
      <c r="AI83" s="184">
        <v>184.34949</v>
      </c>
      <c r="AJ83" s="278">
        <v>3528.6237500000002</v>
      </c>
      <c r="AL83" s="278">
        <v>15520.123330000002</v>
      </c>
      <c r="AM83" s="184">
        <v>-399.15653000000003</v>
      </c>
      <c r="AN83" s="278">
        <v>-1599.3566699999999</v>
      </c>
      <c r="AO83" s="355">
        <v>7691</v>
      </c>
      <c r="AP83" s="344">
        <v>8.61</v>
      </c>
      <c r="AQ83" s="462"/>
      <c r="AS83" s="469">
        <v>3305.4607099999998</v>
      </c>
      <c r="AT83" s="278">
        <v>23080.91171</v>
      </c>
      <c r="AU83" s="464"/>
      <c r="AV83" s="346">
        <v>16395.94227</v>
      </c>
      <c r="AW83" s="346">
        <v>1409.9779099999998</v>
      </c>
      <c r="AX83" s="346">
        <v>4246.0450000000001</v>
      </c>
      <c r="AY83" s="346">
        <v>22051.965179999999</v>
      </c>
      <c r="AZ83" s="346">
        <v>3011.4430000000002</v>
      </c>
      <c r="BA83" s="278">
        <v>331.81839000000002</v>
      </c>
      <c r="BB83" s="345">
        <v>259.15597000000002</v>
      </c>
      <c r="BC83" s="278">
        <v>67.727969999999999</v>
      </c>
      <c r="BD83" s="278">
        <v>1.5821099999999999</v>
      </c>
      <c r="BE83" s="346">
        <v>5426.7654599999996</v>
      </c>
      <c r="BG83" s="343">
        <v>1926.3516200000001</v>
      </c>
      <c r="BH83" s="346">
        <v>235.11467000000002</v>
      </c>
      <c r="BI83" s="343">
        <v>0.20523</v>
      </c>
      <c r="BJ83" s="346">
        <v>3735.3232799999996</v>
      </c>
      <c r="BK83" s="343">
        <v>0</v>
      </c>
      <c r="BL83" s="343">
        <v>0</v>
      </c>
      <c r="BM83" s="343">
        <v>0</v>
      </c>
      <c r="BN83" s="346">
        <v>3735.3232799999996</v>
      </c>
      <c r="BP83" s="346">
        <v>9466.6440299999995</v>
      </c>
      <c r="BQ83" s="318">
        <v>5380.4687400000003</v>
      </c>
      <c r="BR83" s="278">
        <v>-281.20615999999995</v>
      </c>
      <c r="BS83" s="475">
        <v>-4442.2198899999994</v>
      </c>
      <c r="BT83" s="278">
        <v>1024.25782</v>
      </c>
      <c r="BU83" s="278">
        <v>120.16544</v>
      </c>
      <c r="BV83" s="345">
        <v>4507.5902500000002</v>
      </c>
      <c r="BX83" s="278">
        <v>15897.509000000002</v>
      </c>
      <c r="BY83" s="483">
        <v>-242.33443</v>
      </c>
      <c r="BZ83" s="483">
        <v>377.38567</v>
      </c>
      <c r="CA83" s="260"/>
      <c r="CB83" s="347">
        <v>8.6</v>
      </c>
      <c r="CC83" s="486">
        <f t="shared" si="1"/>
        <v>8.6</v>
      </c>
      <c r="CD83" s="287"/>
      <c r="CE83" s="278"/>
      <c r="CF83" s="268"/>
      <c r="CI83" s="158">
        <v>0</v>
      </c>
      <c r="CJ83" s="343">
        <v>1725.3828136765214</v>
      </c>
      <c r="CK83" s="343">
        <v>1810.3972199055611</v>
      </c>
      <c r="CL83" s="343">
        <v>1946.7267221227062</v>
      </c>
      <c r="CM83" s="487">
        <v>2065.5811056402881</v>
      </c>
      <c r="CN83" s="487">
        <v>2805.8598495586084</v>
      </c>
      <c r="CO83" s="495">
        <v>-519.21199999999999</v>
      </c>
      <c r="CP83" s="299"/>
      <c r="CQ83" s="489">
        <v>0</v>
      </c>
      <c r="CR83" s="489">
        <v>0</v>
      </c>
    </row>
    <row r="84" spans="1:96" x14ac:dyDescent="0.2">
      <c r="A84" s="154">
        <v>322</v>
      </c>
      <c r="B84" s="156" t="s">
        <v>349</v>
      </c>
      <c r="C84" s="337">
        <v>6549</v>
      </c>
      <c r="D84" s="276">
        <v>19.749999999999996</v>
      </c>
      <c r="E84" s="185"/>
      <c r="G84" s="278">
        <v>7565.1425799999997</v>
      </c>
      <c r="H84" s="278">
        <v>52798.343909999996</v>
      </c>
      <c r="I84" s="278"/>
      <c r="J84" s="278">
        <v>20982.15206</v>
      </c>
      <c r="K84" s="278">
        <v>1882.38824</v>
      </c>
      <c r="L84" s="278">
        <v>3568.6287499999999</v>
      </c>
      <c r="M84" s="278">
        <v>26433.16905</v>
      </c>
      <c r="N84" s="278">
        <v>25120.847000000002</v>
      </c>
      <c r="O84" s="278">
        <v>0.12781999999999999</v>
      </c>
      <c r="P84" s="278">
        <v>163.72215</v>
      </c>
      <c r="Q84" s="278">
        <v>89.726699999999994</v>
      </c>
      <c r="R84" s="278">
        <v>20.12247</v>
      </c>
      <c r="S84" s="278">
        <v>6226.8246200000003</v>
      </c>
      <c r="U84" s="278">
        <v>4191.2671700000001</v>
      </c>
      <c r="V84" s="278">
        <v>0</v>
      </c>
      <c r="W84" s="278">
        <v>0</v>
      </c>
      <c r="X84" s="278">
        <v>2035.55745</v>
      </c>
      <c r="Y84" s="278">
        <v>-139.72197</v>
      </c>
      <c r="Z84" s="278">
        <v>0</v>
      </c>
      <c r="AA84" s="278">
        <v>0</v>
      </c>
      <c r="AB84" s="278">
        <v>2175.2794199999998</v>
      </c>
      <c r="AD84" s="278">
        <v>18760.758670000003</v>
      </c>
      <c r="AE84" s="157">
        <v>6234.5385800000004</v>
      </c>
      <c r="AF84" s="184">
        <v>7.7139600000000002</v>
      </c>
      <c r="AG84" s="278">
        <v>-1953.51683</v>
      </c>
      <c r="AH84" s="278">
        <v>106.5093</v>
      </c>
      <c r="AI84" s="184">
        <v>18.204840000000001</v>
      </c>
      <c r="AJ84" s="278">
        <v>8324.6265699999985</v>
      </c>
      <c r="AL84" s="278">
        <v>12783.553960000001</v>
      </c>
      <c r="AM84" s="184">
        <v>0</v>
      </c>
      <c r="AN84" s="278">
        <v>-1594.2159999999999</v>
      </c>
      <c r="AO84" s="355">
        <v>6462</v>
      </c>
      <c r="AP84" s="344">
        <v>7.1100000000000012</v>
      </c>
      <c r="AQ84" s="462"/>
      <c r="AS84" s="469">
        <v>5437.5989600000003</v>
      </c>
      <c r="AT84" s="278">
        <v>23045.889230000001</v>
      </c>
      <c r="AU84" s="464"/>
      <c r="AV84" s="346">
        <v>9347.111789999999</v>
      </c>
      <c r="AW84" s="346">
        <v>1113.5153300000002</v>
      </c>
      <c r="AX84" s="346">
        <v>3691.90798</v>
      </c>
      <c r="AY84" s="346">
        <v>14152.535099999999</v>
      </c>
      <c r="AZ84" s="346">
        <v>9892.4240000000009</v>
      </c>
      <c r="BA84" s="278">
        <v>88.286280000000005</v>
      </c>
      <c r="BB84" s="345">
        <v>275.70825000000002</v>
      </c>
      <c r="BC84" s="278">
        <v>47.678550000000001</v>
      </c>
      <c r="BD84" s="278">
        <v>6.5427200000000001</v>
      </c>
      <c r="BE84" s="346">
        <v>6290.3826900000004</v>
      </c>
      <c r="BG84" s="343">
        <v>3248.7764500000003</v>
      </c>
      <c r="BH84" s="343">
        <v>0</v>
      </c>
      <c r="BI84" s="343">
        <v>0</v>
      </c>
      <c r="BJ84" s="346">
        <v>3041.6062400000001</v>
      </c>
      <c r="BK84" s="346">
        <v>-139.47001999999998</v>
      </c>
      <c r="BL84" s="343">
        <v>0</v>
      </c>
      <c r="BM84" s="343">
        <v>0</v>
      </c>
      <c r="BN84" s="346">
        <v>3181.0762599999998</v>
      </c>
      <c r="BP84" s="346">
        <v>21941.834930000005</v>
      </c>
      <c r="BQ84" s="318">
        <v>6277.2613899999997</v>
      </c>
      <c r="BR84" s="278">
        <v>-13.1213</v>
      </c>
      <c r="BS84" s="475">
        <v>-3372.72793</v>
      </c>
      <c r="BT84" s="278">
        <v>202.97220999999999</v>
      </c>
      <c r="BU84" s="278">
        <v>64.138000000000005</v>
      </c>
      <c r="BV84" s="345">
        <v>8217.0472699999991</v>
      </c>
      <c r="BX84" s="278">
        <v>9509.348</v>
      </c>
      <c r="BY84" s="483">
        <v>0</v>
      </c>
      <c r="BZ84" s="483">
        <v>-3274.2059599999998</v>
      </c>
      <c r="CA84" s="261"/>
      <c r="CB84" s="347">
        <v>7.1</v>
      </c>
      <c r="CC84" s="486">
        <f t="shared" si="1"/>
        <v>7.1</v>
      </c>
      <c r="CD84" s="287"/>
      <c r="CE84" s="278"/>
      <c r="CF84" s="268"/>
      <c r="CI84" s="158">
        <v>0</v>
      </c>
      <c r="CJ84" s="343">
        <v>9350.5510618102471</v>
      </c>
      <c r="CK84" s="343">
        <v>9561.9379083800977</v>
      </c>
      <c r="CL84" s="343">
        <v>9490.0412604110006</v>
      </c>
      <c r="CM84" s="487">
        <v>9445.248110947161</v>
      </c>
      <c r="CN84" s="487">
        <v>10262.10428385361</v>
      </c>
      <c r="CO84" s="495">
        <v>-448.38099999999997</v>
      </c>
      <c r="CP84" s="299"/>
      <c r="CQ84" s="489">
        <v>0</v>
      </c>
      <c r="CR84" s="489">
        <v>0</v>
      </c>
    </row>
    <row r="85" spans="1:96" x14ac:dyDescent="0.2">
      <c r="A85" s="154">
        <v>244</v>
      </c>
      <c r="B85" s="156" t="s">
        <v>117</v>
      </c>
      <c r="C85" s="337">
        <v>19300</v>
      </c>
      <c r="D85" s="276">
        <v>20.5</v>
      </c>
      <c r="E85" s="185"/>
      <c r="G85" s="278">
        <v>16893.472710000002</v>
      </c>
      <c r="H85" s="278">
        <v>126472.97888</v>
      </c>
      <c r="I85" s="278"/>
      <c r="J85" s="278">
        <v>75764.726490000001</v>
      </c>
      <c r="K85" s="278">
        <v>5966.5533299999997</v>
      </c>
      <c r="L85" s="278">
        <v>4705.5486700000001</v>
      </c>
      <c r="M85" s="278">
        <v>86436.82849</v>
      </c>
      <c r="N85" s="278">
        <v>33741.917000000001</v>
      </c>
      <c r="O85" s="278">
        <v>0</v>
      </c>
      <c r="P85" s="278">
        <v>547.22768999999994</v>
      </c>
      <c r="Q85" s="278">
        <v>73.422089999999997</v>
      </c>
      <c r="R85" s="278">
        <v>1.4297299999999999</v>
      </c>
      <c r="S85" s="278">
        <v>10249.702600000001</v>
      </c>
      <c r="U85" s="278">
        <v>7121.1667900000002</v>
      </c>
      <c r="V85" s="278">
        <v>0</v>
      </c>
      <c r="W85" s="278">
        <v>0</v>
      </c>
      <c r="X85" s="278">
        <v>3128.5358099999999</v>
      </c>
      <c r="Y85" s="278">
        <v>-673.29863999999998</v>
      </c>
      <c r="Z85" s="278">
        <v>0</v>
      </c>
      <c r="AA85" s="278">
        <v>0</v>
      </c>
      <c r="AB85" s="278">
        <v>3801.8344500000003</v>
      </c>
      <c r="AD85" s="278">
        <v>16207.247190000002</v>
      </c>
      <c r="AE85" s="157">
        <v>7638.5994500000006</v>
      </c>
      <c r="AF85" s="184">
        <v>-2611.1031499999999</v>
      </c>
      <c r="AG85" s="278">
        <v>-10747.316070000001</v>
      </c>
      <c r="AH85" s="278">
        <v>32.199750000000002</v>
      </c>
      <c r="AI85" s="184">
        <v>2996.25522</v>
      </c>
      <c r="AJ85" s="278">
        <v>8587.0638900000013</v>
      </c>
      <c r="AL85" s="278">
        <v>66610.955000000002</v>
      </c>
      <c r="AM85" s="184">
        <v>13.45504</v>
      </c>
      <c r="AN85" s="278">
        <v>-2374.2759999999998</v>
      </c>
      <c r="AO85" s="355">
        <v>19514</v>
      </c>
      <c r="AP85" s="344">
        <v>7.86</v>
      </c>
      <c r="AQ85" s="462"/>
      <c r="AS85" s="469">
        <v>12423.09274</v>
      </c>
      <c r="AT85" s="278">
        <v>71597.81177</v>
      </c>
      <c r="AU85" s="464"/>
      <c r="AV85" s="346">
        <v>37152.381939999999</v>
      </c>
      <c r="AW85" s="346">
        <v>4361.0378099999998</v>
      </c>
      <c r="AX85" s="346">
        <v>5161.83187</v>
      </c>
      <c r="AY85" s="346">
        <v>46675.251619999995</v>
      </c>
      <c r="AZ85" s="346">
        <v>21510.591</v>
      </c>
      <c r="BA85" s="278">
        <v>0</v>
      </c>
      <c r="BB85" s="345">
        <v>701.00401999999997</v>
      </c>
      <c r="BC85" s="278">
        <v>93.481279999999998</v>
      </c>
      <c r="BD85" s="278">
        <v>0.53148000000000006</v>
      </c>
      <c r="BE85" s="346">
        <v>8539.4907300000013</v>
      </c>
      <c r="BG85" s="343">
        <v>6647.3196399999997</v>
      </c>
      <c r="BH85" s="343">
        <v>0</v>
      </c>
      <c r="BI85" s="343">
        <v>0</v>
      </c>
      <c r="BJ85" s="346">
        <v>1892.17109</v>
      </c>
      <c r="BK85" s="346">
        <v>-673.29863999999998</v>
      </c>
      <c r="BL85" s="343">
        <v>0</v>
      </c>
      <c r="BM85" s="343">
        <v>0</v>
      </c>
      <c r="BN85" s="346">
        <v>2565.4697299999998</v>
      </c>
      <c r="BP85" s="346">
        <v>18772.716919999999</v>
      </c>
      <c r="BQ85" s="318">
        <v>5368.4803200000006</v>
      </c>
      <c r="BR85" s="278">
        <v>-3171.0104100000003</v>
      </c>
      <c r="BS85" s="475">
        <v>-19917.109280000001</v>
      </c>
      <c r="BT85" s="278">
        <v>96</v>
      </c>
      <c r="BU85" s="278">
        <v>3516.2207599999997</v>
      </c>
      <c r="BV85" s="345">
        <v>4810.9142899999997</v>
      </c>
      <c r="BX85" s="278">
        <v>75106.679000000004</v>
      </c>
      <c r="BY85" s="483">
        <v>0</v>
      </c>
      <c r="BZ85" s="483">
        <v>8495.7240000000002</v>
      </c>
      <c r="CA85" s="260"/>
      <c r="CB85" s="347">
        <v>7.9</v>
      </c>
      <c r="CC85" s="486">
        <f t="shared" si="1"/>
        <v>7.9</v>
      </c>
      <c r="CD85" s="287"/>
      <c r="CE85" s="278"/>
      <c r="CF85" s="268"/>
      <c r="CI85" s="158">
        <v>0</v>
      </c>
      <c r="CJ85" s="343">
        <v>22350.392661110531</v>
      </c>
      <c r="CK85" s="343">
        <v>23667.455466593627</v>
      </c>
      <c r="CL85" s="343">
        <v>24067.199838865366</v>
      </c>
      <c r="CM85" s="487">
        <v>24496.049691493299</v>
      </c>
      <c r="CN85" s="487">
        <v>23890.764495074774</v>
      </c>
      <c r="CO85" s="495">
        <v>115.901</v>
      </c>
      <c r="CP85" s="299"/>
      <c r="CQ85" s="489">
        <v>125.69861</v>
      </c>
      <c r="CR85" s="489">
        <v>136.42135999999999</v>
      </c>
    </row>
    <row r="86" spans="1:96" x14ac:dyDescent="0.2">
      <c r="A86" s="154">
        <v>245</v>
      </c>
      <c r="B86" s="156" t="s">
        <v>118</v>
      </c>
      <c r="C86" s="337">
        <v>37676</v>
      </c>
      <c r="D86" s="276">
        <v>19.25</v>
      </c>
      <c r="E86" s="185"/>
      <c r="G86" s="278">
        <v>40398.458340000005</v>
      </c>
      <c r="H86" s="278">
        <v>255255.88378</v>
      </c>
      <c r="I86" s="278"/>
      <c r="J86" s="278">
        <v>152216.97297999999</v>
      </c>
      <c r="K86" s="278">
        <v>12704.075359999999</v>
      </c>
      <c r="L86" s="278">
        <v>14001.220039999998</v>
      </c>
      <c r="M86" s="278">
        <v>178922.26837999999</v>
      </c>
      <c r="N86" s="278">
        <v>41015.642999999996</v>
      </c>
      <c r="O86" s="278">
        <v>73.508660000000006</v>
      </c>
      <c r="P86" s="278">
        <v>424.58334000000002</v>
      </c>
      <c r="Q86" s="278">
        <v>1402.45102</v>
      </c>
      <c r="R86" s="278">
        <v>12.146559999999999</v>
      </c>
      <c r="S86" s="278">
        <v>6169.0481500000005</v>
      </c>
      <c r="U86" s="278">
        <v>18472.613890000001</v>
      </c>
      <c r="V86" s="278">
        <v>0</v>
      </c>
      <c r="W86" s="278">
        <v>0</v>
      </c>
      <c r="X86" s="278">
        <v>-12303.56574</v>
      </c>
      <c r="Y86" s="278">
        <v>0</v>
      </c>
      <c r="Z86" s="278">
        <v>0</v>
      </c>
      <c r="AA86" s="278">
        <v>0</v>
      </c>
      <c r="AB86" s="278">
        <v>-12303.56574</v>
      </c>
      <c r="AD86" s="278">
        <v>86238.047100000011</v>
      </c>
      <c r="AE86" s="157">
        <v>4925.0862100000004</v>
      </c>
      <c r="AF86" s="184">
        <v>-1243.9619399999999</v>
      </c>
      <c r="AG86" s="278">
        <v>-16700.534050000002</v>
      </c>
      <c r="AH86" s="278">
        <v>172.52817000000002</v>
      </c>
      <c r="AI86" s="184">
        <v>1255.51829</v>
      </c>
      <c r="AJ86" s="278">
        <v>2286.7251000000001</v>
      </c>
      <c r="AL86" s="278">
        <v>92148.846000000005</v>
      </c>
      <c r="AM86" s="184">
        <v>8.8159799999999997</v>
      </c>
      <c r="AN86" s="278">
        <v>1404.768</v>
      </c>
      <c r="AO86" s="355">
        <v>38211</v>
      </c>
      <c r="AP86" s="344">
        <v>6.61</v>
      </c>
      <c r="AQ86" s="462"/>
      <c r="AS86" s="469">
        <v>32391.936280000002</v>
      </c>
      <c r="AT86" s="278">
        <v>115367.62426000001</v>
      </c>
      <c r="AU86" s="464"/>
      <c r="AV86" s="346">
        <v>68898.441849999988</v>
      </c>
      <c r="AW86" s="346">
        <v>8342.4113099999995</v>
      </c>
      <c r="AX86" s="346">
        <v>14520.21983</v>
      </c>
      <c r="AY86" s="346">
        <v>91761.072990000001</v>
      </c>
      <c r="AZ86" s="346">
        <v>17801.007000000001</v>
      </c>
      <c r="BA86" s="278">
        <v>143.50047000000001</v>
      </c>
      <c r="BB86" s="345">
        <v>1153.7298999999998</v>
      </c>
      <c r="BC86" s="278">
        <v>1512.2914800000001</v>
      </c>
      <c r="BD86" s="278">
        <v>5.1190699999999998</v>
      </c>
      <c r="BE86" s="346">
        <v>27136.934659999999</v>
      </c>
      <c r="BG86" s="343">
        <v>19800.753479999999</v>
      </c>
      <c r="BH86" s="343">
        <v>0</v>
      </c>
      <c r="BI86" s="343">
        <v>0</v>
      </c>
      <c r="BJ86" s="346">
        <v>7336.1811799999996</v>
      </c>
      <c r="BK86" s="343">
        <v>0</v>
      </c>
      <c r="BL86" s="343">
        <v>6000</v>
      </c>
      <c r="BM86" s="346">
        <v>0</v>
      </c>
      <c r="BN86" s="346">
        <v>1336.18118</v>
      </c>
      <c r="BP86" s="346">
        <v>87574.228279999996</v>
      </c>
      <c r="BQ86" s="318">
        <v>25335.164059999999</v>
      </c>
      <c r="BR86" s="278">
        <v>-1801.7706000000001</v>
      </c>
      <c r="BS86" s="475">
        <v>-18025.842969999998</v>
      </c>
      <c r="BT86" s="278">
        <v>268.85899999999998</v>
      </c>
      <c r="BU86" s="278">
        <v>2223.4737300000002</v>
      </c>
      <c r="BV86" s="345">
        <v>3042.4465399999999</v>
      </c>
      <c r="BX86" s="278">
        <v>88875</v>
      </c>
      <c r="BY86" s="483">
        <v>23.07432</v>
      </c>
      <c r="BZ86" s="483">
        <v>-3273.846</v>
      </c>
      <c r="CA86" s="260"/>
      <c r="CB86" s="347">
        <v>6.9</v>
      </c>
      <c r="CC86" s="486">
        <f t="shared" si="1"/>
        <v>6.9</v>
      </c>
      <c r="CD86" s="287"/>
      <c r="CE86" s="278"/>
      <c r="CF86" s="268"/>
      <c r="CI86" s="158">
        <v>0</v>
      </c>
      <c r="CJ86" s="343">
        <v>13076.032683255198</v>
      </c>
      <c r="CK86" s="343">
        <v>18740.126801613631</v>
      </c>
      <c r="CL86" s="343">
        <v>18766.796944690614</v>
      </c>
      <c r="CM86" s="487">
        <v>18782.600953675712</v>
      </c>
      <c r="CN86" s="487">
        <v>19815.979343060189</v>
      </c>
      <c r="CO86" s="495">
        <v>-3842.7159999999999</v>
      </c>
      <c r="CP86" s="299"/>
      <c r="CQ86" s="489">
        <v>49.332430000000002</v>
      </c>
      <c r="CR86" s="489">
        <v>53.599669999999996</v>
      </c>
    </row>
    <row r="87" spans="1:96" x14ac:dyDescent="0.2">
      <c r="A87" s="154">
        <v>249</v>
      </c>
      <c r="B87" s="156" t="s">
        <v>119</v>
      </c>
      <c r="C87" s="337">
        <v>9250</v>
      </c>
      <c r="D87" s="276">
        <v>21.75</v>
      </c>
      <c r="E87" s="185"/>
      <c r="G87" s="278">
        <v>22536.558000000001</v>
      </c>
      <c r="H87" s="278">
        <v>88906.699800000002</v>
      </c>
      <c r="I87" s="278"/>
      <c r="J87" s="278">
        <v>32379.586319999999</v>
      </c>
      <c r="K87" s="278">
        <v>4306.71198</v>
      </c>
      <c r="L87" s="278">
        <v>2667.7348900000002</v>
      </c>
      <c r="M87" s="278">
        <v>39354.033189999995</v>
      </c>
      <c r="N87" s="278">
        <v>30953.927</v>
      </c>
      <c r="O87" s="278">
        <v>9.2749199999999998</v>
      </c>
      <c r="P87" s="278">
        <v>197.87586999999999</v>
      </c>
      <c r="Q87" s="278">
        <v>445.52254999999997</v>
      </c>
      <c r="R87" s="278">
        <v>18.56587</v>
      </c>
      <c r="S87" s="278">
        <v>555.71910000000003</v>
      </c>
      <c r="U87" s="278">
        <v>5080.4859500000002</v>
      </c>
      <c r="V87" s="278">
        <v>0</v>
      </c>
      <c r="W87" s="278">
        <v>0</v>
      </c>
      <c r="X87" s="278">
        <v>-4524.76685</v>
      </c>
      <c r="Y87" s="278">
        <v>0</v>
      </c>
      <c r="Z87" s="278">
        <v>0</v>
      </c>
      <c r="AA87" s="278">
        <v>0</v>
      </c>
      <c r="AB87" s="278">
        <v>-4524.76685</v>
      </c>
      <c r="AD87" s="278">
        <v>3678.30719</v>
      </c>
      <c r="AE87" s="157">
        <v>3750.672</v>
      </c>
      <c r="AF87" s="184">
        <v>732.46299999999997</v>
      </c>
      <c r="AG87" s="278">
        <v>-3124.8029999999999</v>
      </c>
      <c r="AH87" s="278">
        <v>120</v>
      </c>
      <c r="AI87" s="184">
        <v>187.89699999999999</v>
      </c>
      <c r="AJ87" s="278">
        <v>2779.8850000000002</v>
      </c>
      <c r="AL87" s="278">
        <v>56501.637000000002</v>
      </c>
      <c r="AM87" s="184">
        <v>0</v>
      </c>
      <c r="AN87" s="278">
        <v>-2738.04</v>
      </c>
      <c r="AO87" s="355">
        <v>9184</v>
      </c>
      <c r="AP87" s="344">
        <v>9.11</v>
      </c>
      <c r="AQ87" s="462"/>
      <c r="AS87" s="469">
        <v>19730.843780000003</v>
      </c>
      <c r="AT87" s="278">
        <v>40901.63336</v>
      </c>
      <c r="AU87" s="464"/>
      <c r="AV87" s="346">
        <v>15873.633159999999</v>
      </c>
      <c r="AW87" s="346">
        <v>2898.9212799999996</v>
      </c>
      <c r="AX87" s="346">
        <v>3035.2770399999999</v>
      </c>
      <c r="AY87" s="346">
        <v>21807.831480000001</v>
      </c>
      <c r="AZ87" s="346">
        <v>6716.732</v>
      </c>
      <c r="BA87" s="278">
        <v>106.07548</v>
      </c>
      <c r="BB87" s="345">
        <v>1865.2401100000002</v>
      </c>
      <c r="BC87" s="278">
        <v>223.38001</v>
      </c>
      <c r="BD87" s="278">
        <v>18.282550000000001</v>
      </c>
      <c r="BE87" s="346">
        <v>5856.5846300000003</v>
      </c>
      <c r="BG87" s="343">
        <v>5422.5336600000001</v>
      </c>
      <c r="BH87" s="343">
        <v>0</v>
      </c>
      <c r="BI87" s="343">
        <v>0</v>
      </c>
      <c r="BJ87" s="346">
        <v>434.05096999999995</v>
      </c>
      <c r="BK87" s="346">
        <v>0</v>
      </c>
      <c r="BL87" s="343">
        <v>0</v>
      </c>
      <c r="BM87" s="343">
        <v>0</v>
      </c>
      <c r="BN87" s="346">
        <v>434.05096999999995</v>
      </c>
      <c r="BP87" s="346">
        <v>4105.5015800000001</v>
      </c>
      <c r="BQ87" s="318">
        <v>3930.681</v>
      </c>
      <c r="BR87" s="278">
        <v>-1925.903</v>
      </c>
      <c r="BS87" s="475">
        <v>-2147.3009999999999</v>
      </c>
      <c r="BT87" s="278">
        <v>143.11000000000001</v>
      </c>
      <c r="BU87" s="278">
        <v>328.36599999999999</v>
      </c>
      <c r="BV87" s="345">
        <v>3330.748</v>
      </c>
      <c r="BX87" s="278">
        <v>57106.131000000001</v>
      </c>
      <c r="BY87" s="483">
        <v>0</v>
      </c>
      <c r="BZ87" s="483">
        <v>604.49400000000003</v>
      </c>
      <c r="CA87" s="260"/>
      <c r="CB87" s="347">
        <v>9.1</v>
      </c>
      <c r="CC87" s="486">
        <f t="shared" si="1"/>
        <v>9.1</v>
      </c>
      <c r="CD87" s="287"/>
      <c r="CE87" s="278"/>
      <c r="CF87" s="268"/>
      <c r="CI87" s="158">
        <v>0</v>
      </c>
      <c r="CJ87" s="343">
        <v>6929.5746871508491</v>
      </c>
      <c r="CK87" s="343">
        <v>7986.7871115354255</v>
      </c>
      <c r="CL87" s="343">
        <v>8282.9401430645939</v>
      </c>
      <c r="CM87" s="487">
        <v>8105.4514736431584</v>
      </c>
      <c r="CN87" s="487">
        <v>9158.692942626265</v>
      </c>
      <c r="CO87" s="495">
        <v>327.97</v>
      </c>
      <c r="CP87" s="299"/>
      <c r="CQ87" s="489">
        <v>22.04</v>
      </c>
      <c r="CR87" s="489">
        <v>56.877900000000004</v>
      </c>
    </row>
    <row r="88" spans="1:96" x14ac:dyDescent="0.2">
      <c r="A88" s="154">
        <v>250</v>
      </c>
      <c r="B88" s="156" t="s">
        <v>120</v>
      </c>
      <c r="C88" s="337">
        <v>1771</v>
      </c>
      <c r="D88" s="276">
        <v>21.5</v>
      </c>
      <c r="E88" s="185"/>
      <c r="G88" s="278">
        <v>1298.69</v>
      </c>
      <c r="H88" s="278">
        <v>14739.05543</v>
      </c>
      <c r="I88" s="278"/>
      <c r="J88" s="278">
        <v>5000.4942499999997</v>
      </c>
      <c r="K88" s="278">
        <v>1153.8244499999998</v>
      </c>
      <c r="L88" s="278">
        <v>558.00613999999996</v>
      </c>
      <c r="M88" s="278">
        <v>6712.3248400000002</v>
      </c>
      <c r="N88" s="278">
        <v>7258.6059999999998</v>
      </c>
      <c r="O88" s="278">
        <v>0.86399999999999999</v>
      </c>
      <c r="P88" s="278">
        <v>93.002070000000003</v>
      </c>
      <c r="Q88" s="278">
        <v>52.585749999999997</v>
      </c>
      <c r="R88" s="278">
        <v>0.26258999999999999</v>
      </c>
      <c r="S88" s="278">
        <v>490.75049999999999</v>
      </c>
      <c r="U88" s="278">
        <v>410.95309000000003</v>
      </c>
      <c r="V88" s="278">
        <v>0</v>
      </c>
      <c r="W88" s="278">
        <v>0</v>
      </c>
      <c r="X88" s="278">
        <v>79.797409999999999</v>
      </c>
      <c r="Y88" s="278">
        <v>0</v>
      </c>
      <c r="Z88" s="278">
        <v>0</v>
      </c>
      <c r="AA88" s="278">
        <v>0</v>
      </c>
      <c r="AB88" s="278">
        <v>79.797409999999999</v>
      </c>
      <c r="AD88" s="278">
        <v>2525.3176699999999</v>
      </c>
      <c r="AE88" s="157">
        <v>686.87166999999999</v>
      </c>
      <c r="AF88" s="184">
        <v>196.12117000000001</v>
      </c>
      <c r="AG88" s="278">
        <v>-695.75896999999998</v>
      </c>
      <c r="AH88" s="278">
        <v>308.48939000000001</v>
      </c>
      <c r="AI88" s="184">
        <v>1.7669999999999999</v>
      </c>
      <c r="AJ88" s="278">
        <v>1822.5392400000001</v>
      </c>
      <c r="AL88" s="278">
        <v>6723.6710800000001</v>
      </c>
      <c r="AM88" s="184">
        <v>167.1</v>
      </c>
      <c r="AN88" s="278">
        <v>-641.50232999999992</v>
      </c>
      <c r="AO88" s="355">
        <v>1749</v>
      </c>
      <c r="AP88" s="344">
        <v>8.86</v>
      </c>
      <c r="AQ88" s="462"/>
      <c r="AS88" s="469">
        <v>1436.9209799999999</v>
      </c>
      <c r="AT88" s="278">
        <v>6527.0370400000002</v>
      </c>
      <c r="AU88" s="464"/>
      <c r="AV88" s="346">
        <v>2520.5946400000003</v>
      </c>
      <c r="AW88" s="346">
        <v>746.65748999999994</v>
      </c>
      <c r="AX88" s="346">
        <v>562.52671999999995</v>
      </c>
      <c r="AY88" s="346">
        <v>3829.7788500000001</v>
      </c>
      <c r="AZ88" s="346">
        <v>1249.9839999999999</v>
      </c>
      <c r="BA88" s="278">
        <v>4.8</v>
      </c>
      <c r="BB88" s="345">
        <v>166.85082</v>
      </c>
      <c r="BC88" s="278">
        <v>35.53031</v>
      </c>
      <c r="BD88" s="278">
        <v>0.38725999999999999</v>
      </c>
      <c r="BE88" s="346">
        <v>-137.26098000000002</v>
      </c>
      <c r="BG88" s="343">
        <v>408.49941999999999</v>
      </c>
      <c r="BH88" s="343">
        <v>0</v>
      </c>
      <c r="BI88" s="343">
        <v>0</v>
      </c>
      <c r="BJ88" s="346">
        <v>-545.7604</v>
      </c>
      <c r="BK88" s="343">
        <v>0</v>
      </c>
      <c r="BL88" s="343">
        <v>0</v>
      </c>
      <c r="BM88" s="343">
        <v>0</v>
      </c>
      <c r="BN88" s="346">
        <v>-545.7604</v>
      </c>
      <c r="BP88" s="346">
        <v>1979.5572699999998</v>
      </c>
      <c r="BQ88" s="318">
        <v>-334.72597999999999</v>
      </c>
      <c r="BR88" s="278">
        <v>-197.465</v>
      </c>
      <c r="BS88" s="475">
        <v>-188.42654999999999</v>
      </c>
      <c r="BT88" s="278">
        <v>70.915000000000006</v>
      </c>
      <c r="BU88" s="278">
        <v>0</v>
      </c>
      <c r="BV88" s="345">
        <v>1577.70057</v>
      </c>
      <c r="BX88" s="278">
        <v>6085.0340000000006</v>
      </c>
      <c r="BY88" s="483">
        <v>163</v>
      </c>
      <c r="BZ88" s="483">
        <v>-638.63707999999997</v>
      </c>
      <c r="CA88" s="260"/>
      <c r="CB88" s="347">
        <v>8.9</v>
      </c>
      <c r="CC88" s="486">
        <f t="shared" si="1"/>
        <v>8.9</v>
      </c>
      <c r="CD88" s="287"/>
      <c r="CE88" s="278"/>
      <c r="CF88" s="268"/>
      <c r="CI88" s="158">
        <v>0</v>
      </c>
      <c r="CJ88" s="343">
        <v>934.13331737857948</v>
      </c>
      <c r="CK88" s="343">
        <v>1097.2262635227696</v>
      </c>
      <c r="CL88" s="343">
        <v>1090.9615993707573</v>
      </c>
      <c r="CM88" s="487">
        <v>1119.0912135787507</v>
      </c>
      <c r="CN88" s="487">
        <v>1357.9170335119209</v>
      </c>
      <c r="CO88" s="495">
        <v>-356.791</v>
      </c>
      <c r="CP88" s="299"/>
      <c r="CQ88" s="489">
        <v>0</v>
      </c>
      <c r="CR88" s="489">
        <v>0</v>
      </c>
    </row>
    <row r="89" spans="1:96" x14ac:dyDescent="0.2">
      <c r="A89" s="154">
        <v>256</v>
      </c>
      <c r="B89" s="156" t="s">
        <v>121</v>
      </c>
      <c r="C89" s="337">
        <v>1554</v>
      </c>
      <c r="D89" s="276">
        <v>21.5</v>
      </c>
      <c r="E89" s="185"/>
      <c r="G89" s="278">
        <v>2703.7574799999998</v>
      </c>
      <c r="H89" s="278">
        <v>15424.95433</v>
      </c>
      <c r="I89" s="278"/>
      <c r="J89" s="278">
        <v>3960.6005</v>
      </c>
      <c r="K89" s="278">
        <v>1015.26175</v>
      </c>
      <c r="L89" s="278">
        <v>457.18640999999997</v>
      </c>
      <c r="M89" s="278">
        <v>5433.0486600000004</v>
      </c>
      <c r="N89" s="278">
        <v>7812.4809999999998</v>
      </c>
      <c r="O89" s="278">
        <v>40.045569999999998</v>
      </c>
      <c r="P89" s="278">
        <v>16.87884</v>
      </c>
      <c r="Q89" s="278">
        <v>33.715699999999998</v>
      </c>
      <c r="R89" s="278">
        <v>2.0468599999999997</v>
      </c>
      <c r="S89" s="278">
        <v>579.16837999999996</v>
      </c>
      <c r="U89" s="278">
        <v>897.65260999999998</v>
      </c>
      <c r="V89" s="278">
        <v>0</v>
      </c>
      <c r="W89" s="278">
        <v>0</v>
      </c>
      <c r="X89" s="278">
        <v>-318.48422999999997</v>
      </c>
      <c r="Y89" s="278">
        <v>-12.66798</v>
      </c>
      <c r="Z89" s="278">
        <v>0.84545999999999999</v>
      </c>
      <c r="AA89" s="278">
        <v>-0.18522999999999998</v>
      </c>
      <c r="AB89" s="278">
        <v>-306.47647999999998</v>
      </c>
      <c r="AD89" s="278">
        <v>3078.7026599999999</v>
      </c>
      <c r="AE89" s="157">
        <v>327.20378999999997</v>
      </c>
      <c r="AF89" s="184">
        <v>-251.96458999999999</v>
      </c>
      <c r="AG89" s="278">
        <v>-434.06953999999996</v>
      </c>
      <c r="AH89" s="278">
        <v>0</v>
      </c>
      <c r="AI89" s="184">
        <v>14.5</v>
      </c>
      <c r="AJ89" s="278">
        <v>235.08117000000004</v>
      </c>
      <c r="AL89" s="278">
        <v>5400</v>
      </c>
      <c r="AM89" s="184">
        <v>98.549350000000004</v>
      </c>
      <c r="AN89" s="278">
        <v>-300</v>
      </c>
      <c r="AO89" s="355">
        <v>1523</v>
      </c>
      <c r="AP89" s="344">
        <v>8.86</v>
      </c>
      <c r="AQ89" s="462"/>
      <c r="AS89" s="469">
        <v>2987.3533600000001</v>
      </c>
      <c r="AT89" s="278">
        <v>7684.5576500000006</v>
      </c>
      <c r="AU89" s="464"/>
      <c r="AV89" s="346">
        <v>1946.05807</v>
      </c>
      <c r="AW89" s="346">
        <v>580.16980000000001</v>
      </c>
      <c r="AX89" s="346">
        <v>468.97578000000004</v>
      </c>
      <c r="AY89" s="346">
        <v>2995.2036499999999</v>
      </c>
      <c r="AZ89" s="346">
        <v>2181.4560000000001</v>
      </c>
      <c r="BA89" s="278">
        <v>32.432900000000004</v>
      </c>
      <c r="BB89" s="345">
        <v>129.54086999999998</v>
      </c>
      <c r="BC89" s="278">
        <v>25.499380000000002</v>
      </c>
      <c r="BD89" s="278">
        <v>1.6471600000000002</v>
      </c>
      <c r="BE89" s="346">
        <v>406.19961000000001</v>
      </c>
      <c r="BG89" s="343">
        <v>1166.74872</v>
      </c>
      <c r="BH89" s="343">
        <v>0</v>
      </c>
      <c r="BI89" s="346">
        <v>0</v>
      </c>
      <c r="BJ89" s="346">
        <v>-760.54911000000004</v>
      </c>
      <c r="BK89" s="346">
        <v>0</v>
      </c>
      <c r="BL89" s="343">
        <v>0</v>
      </c>
      <c r="BM89" s="343">
        <v>0</v>
      </c>
      <c r="BN89" s="346">
        <v>-760.54911000000004</v>
      </c>
      <c r="BP89" s="346">
        <v>2318.15355</v>
      </c>
      <c r="BQ89" s="318">
        <v>228.18660999999997</v>
      </c>
      <c r="BR89" s="278">
        <v>-178.01300000000001</v>
      </c>
      <c r="BS89" s="475">
        <v>-920.56714999999997</v>
      </c>
      <c r="BT89" s="278">
        <v>0</v>
      </c>
      <c r="BU89" s="278">
        <v>95.07208</v>
      </c>
      <c r="BV89" s="345">
        <v>427.95871</v>
      </c>
      <c r="BX89" s="278">
        <v>5600</v>
      </c>
      <c r="BY89" s="483">
        <v>0</v>
      </c>
      <c r="BZ89" s="483">
        <v>200</v>
      </c>
      <c r="CA89" s="260"/>
      <c r="CB89" s="347">
        <v>9.5</v>
      </c>
      <c r="CC89" s="486">
        <f t="shared" si="1"/>
        <v>9.5</v>
      </c>
      <c r="CD89" s="287"/>
      <c r="CE89" s="278"/>
      <c r="CF89" s="268"/>
      <c r="CI89" s="158">
        <v>0</v>
      </c>
      <c r="CJ89" s="343">
        <v>2142.7888832931853</v>
      </c>
      <c r="CK89" s="343">
        <v>2438.9017644427508</v>
      </c>
      <c r="CL89" s="343">
        <v>2457.2357467877864</v>
      </c>
      <c r="CM89" s="487">
        <v>2519.4157051157931</v>
      </c>
      <c r="CN89" s="487">
        <v>2799.0055067034318</v>
      </c>
      <c r="CO89" s="495">
        <v>373.87299999999999</v>
      </c>
      <c r="CP89" s="299"/>
      <c r="CQ89" s="489">
        <v>0</v>
      </c>
      <c r="CR89" s="489">
        <v>0</v>
      </c>
    </row>
    <row r="90" spans="1:96" x14ac:dyDescent="0.2">
      <c r="A90" s="154">
        <v>257</v>
      </c>
      <c r="B90" s="156" t="s">
        <v>122</v>
      </c>
      <c r="C90" s="337">
        <v>40722</v>
      </c>
      <c r="D90" s="276">
        <v>19.75</v>
      </c>
      <c r="E90" s="185"/>
      <c r="G90" s="278">
        <v>58469.886930000001</v>
      </c>
      <c r="H90" s="278">
        <v>278697.28901000001</v>
      </c>
      <c r="I90" s="278"/>
      <c r="J90" s="278">
        <v>201280.81988</v>
      </c>
      <c r="K90" s="278">
        <v>9196.5197399999997</v>
      </c>
      <c r="L90" s="278">
        <v>12737.91309</v>
      </c>
      <c r="M90" s="278">
        <v>223215.25271</v>
      </c>
      <c r="N90" s="278">
        <v>35670.635000000002</v>
      </c>
      <c r="O90" s="278">
        <v>53.98507</v>
      </c>
      <c r="P90" s="278">
        <v>967.10650999999996</v>
      </c>
      <c r="Q90" s="278">
        <v>647.96511999999996</v>
      </c>
      <c r="R90" s="278">
        <v>134.74096</v>
      </c>
      <c r="S90" s="278">
        <v>38258.588349999998</v>
      </c>
      <c r="U90" s="278">
        <v>25572.149920000003</v>
      </c>
      <c r="V90" s="278">
        <v>0</v>
      </c>
      <c r="W90" s="278">
        <v>0</v>
      </c>
      <c r="X90" s="278">
        <v>12686.43843</v>
      </c>
      <c r="Y90" s="278">
        <v>-13.35167</v>
      </c>
      <c r="Z90" s="278">
        <v>0</v>
      </c>
      <c r="AA90" s="278">
        <v>0</v>
      </c>
      <c r="AB90" s="278">
        <v>12699.7901</v>
      </c>
      <c r="AD90" s="278">
        <v>21245.60557</v>
      </c>
      <c r="AE90" s="157">
        <v>20521.119640000001</v>
      </c>
      <c r="AF90" s="184">
        <v>-17737.468710000001</v>
      </c>
      <c r="AG90" s="278">
        <v>-25830.019940000002</v>
      </c>
      <c r="AH90" s="278">
        <v>231.64400000000001</v>
      </c>
      <c r="AI90" s="184">
        <v>65761.11954</v>
      </c>
      <c r="AJ90" s="278">
        <v>79006.334770000001</v>
      </c>
      <c r="AL90" s="278">
        <v>206288.49217000001</v>
      </c>
      <c r="AM90" s="184">
        <v>54.146380000000001</v>
      </c>
      <c r="AN90" s="278">
        <v>-33744.696360000002</v>
      </c>
      <c r="AO90" s="355">
        <v>41154</v>
      </c>
      <c r="AP90" s="344">
        <v>7.1100000000000012</v>
      </c>
      <c r="AQ90" s="462"/>
      <c r="AS90" s="469">
        <v>30390.924440000003</v>
      </c>
      <c r="AT90" s="278">
        <v>142267.54824</v>
      </c>
      <c r="AU90" s="464"/>
      <c r="AV90" s="346">
        <v>95855.762799999997</v>
      </c>
      <c r="AW90" s="346">
        <v>7207.4809500000001</v>
      </c>
      <c r="AX90" s="346">
        <v>13429.13571</v>
      </c>
      <c r="AY90" s="346">
        <v>116492.37946</v>
      </c>
      <c r="AZ90" s="346">
        <v>37708.254999999997</v>
      </c>
      <c r="BA90" s="278">
        <v>336.10541999999998</v>
      </c>
      <c r="BB90" s="345">
        <v>829.58019999999999</v>
      </c>
      <c r="BC90" s="278">
        <v>500.49603000000002</v>
      </c>
      <c r="BD90" s="278">
        <v>50.646599999999999</v>
      </c>
      <c r="BE90" s="346">
        <v>42280.385310000005</v>
      </c>
      <c r="BG90" s="343">
        <v>18611.871370000001</v>
      </c>
      <c r="BH90" s="343">
        <v>0</v>
      </c>
      <c r="BI90" s="343">
        <v>0</v>
      </c>
      <c r="BJ90" s="346">
        <v>23668.513940000001</v>
      </c>
      <c r="BK90" s="346">
        <v>-12.517389999999999</v>
      </c>
      <c r="BL90" s="346">
        <v>0</v>
      </c>
      <c r="BM90" s="346">
        <v>0</v>
      </c>
      <c r="BN90" s="346">
        <v>23681.031329999998</v>
      </c>
      <c r="BP90" s="346">
        <v>44926.636899999998</v>
      </c>
      <c r="BQ90" s="318">
        <v>38585.382060000004</v>
      </c>
      <c r="BR90" s="278">
        <v>-3695.0032500000002</v>
      </c>
      <c r="BS90" s="475">
        <v>-26451.072809999998</v>
      </c>
      <c r="BT90" s="278">
        <v>34.200000000000003</v>
      </c>
      <c r="BU90" s="278">
        <v>3430.1200400000002</v>
      </c>
      <c r="BV90" s="345">
        <v>40081.886409999999</v>
      </c>
      <c r="BX90" s="278">
        <v>161164.86729000002</v>
      </c>
      <c r="BY90" s="483">
        <v>636.11622</v>
      </c>
      <c r="BZ90" s="483">
        <v>-45123.624880000003</v>
      </c>
      <c r="CA90" s="260"/>
      <c r="CB90" s="347">
        <v>7.0999999999999979</v>
      </c>
      <c r="CC90" s="486">
        <f t="shared" si="1"/>
        <v>7.0999999999999979</v>
      </c>
      <c r="CD90" s="287"/>
      <c r="CE90" s="278"/>
      <c r="CF90" s="268"/>
      <c r="CI90" s="158">
        <v>0</v>
      </c>
      <c r="CJ90" s="343">
        <v>36577.554552418114</v>
      </c>
      <c r="CK90" s="343">
        <v>38882.24799441595</v>
      </c>
      <c r="CL90" s="343">
        <v>38959.916699271875</v>
      </c>
      <c r="CM90" s="487">
        <v>39156.924171528386</v>
      </c>
      <c r="CN90" s="487">
        <v>40373.719549504087</v>
      </c>
      <c r="CO90" s="495">
        <v>-2487.6149999999998</v>
      </c>
      <c r="CP90" s="299"/>
      <c r="CQ90" s="489">
        <v>0</v>
      </c>
      <c r="CR90" s="489">
        <v>0</v>
      </c>
    </row>
    <row r="91" spans="1:96" x14ac:dyDescent="0.2">
      <c r="A91" s="154">
        <v>260</v>
      </c>
      <c r="B91" s="156" t="s">
        <v>123</v>
      </c>
      <c r="C91" s="337">
        <v>9727</v>
      </c>
      <c r="D91" s="276">
        <v>20.75</v>
      </c>
      <c r="E91" s="185"/>
      <c r="G91" s="278">
        <v>8969.0130500000014</v>
      </c>
      <c r="H91" s="278">
        <v>82395.398050000003</v>
      </c>
      <c r="I91" s="278"/>
      <c r="J91" s="278">
        <v>27559.6574</v>
      </c>
      <c r="K91" s="278">
        <v>3741.21488</v>
      </c>
      <c r="L91" s="278">
        <v>2923.4864199999997</v>
      </c>
      <c r="M91" s="278">
        <v>34224.358700000004</v>
      </c>
      <c r="N91" s="278">
        <v>43946.990259999999</v>
      </c>
      <c r="O91" s="278">
        <v>29.201310000000003</v>
      </c>
      <c r="P91" s="278">
        <v>21.013570000000001</v>
      </c>
      <c r="Q91" s="278">
        <v>401.96584999999999</v>
      </c>
      <c r="R91" s="278">
        <v>15.39231</v>
      </c>
      <c r="S91" s="278">
        <v>5139.7252400000007</v>
      </c>
      <c r="U91" s="278">
        <v>3349.59283</v>
      </c>
      <c r="V91" s="278">
        <v>0</v>
      </c>
      <c r="W91" s="278">
        <v>0</v>
      </c>
      <c r="X91" s="278">
        <v>1790.1324099999999</v>
      </c>
      <c r="Y91" s="278">
        <v>-28.410310000000003</v>
      </c>
      <c r="Z91" s="278">
        <v>0</v>
      </c>
      <c r="AA91" s="278">
        <v>0</v>
      </c>
      <c r="AB91" s="278">
        <v>1818.5427199999999</v>
      </c>
      <c r="AD91" s="278">
        <v>27410.516929999998</v>
      </c>
      <c r="AE91" s="157">
        <v>5215.2994699999999</v>
      </c>
      <c r="AF91" s="184">
        <v>75.57423</v>
      </c>
      <c r="AG91" s="278">
        <v>-2910.2749900000003</v>
      </c>
      <c r="AH91" s="278">
        <v>418.38378</v>
      </c>
      <c r="AI91" s="184">
        <v>12.3</v>
      </c>
      <c r="AJ91" s="278">
        <v>16350.4882</v>
      </c>
      <c r="AL91" s="278">
        <v>2480.2930000000001</v>
      </c>
      <c r="AM91" s="184">
        <v>0</v>
      </c>
      <c r="AN91" s="278">
        <v>-880.86599999999999</v>
      </c>
      <c r="AO91" s="355">
        <v>9689</v>
      </c>
      <c r="AP91" s="344">
        <v>8.11</v>
      </c>
      <c r="AQ91" s="462"/>
      <c r="AS91" s="469">
        <v>7330.9260400000003</v>
      </c>
      <c r="AT91" s="278">
        <v>31321.715489999999</v>
      </c>
      <c r="AU91" s="464"/>
      <c r="AV91" s="346">
        <v>12864.924730000001</v>
      </c>
      <c r="AW91" s="346">
        <v>2381.53829</v>
      </c>
      <c r="AX91" s="346">
        <v>2965.3038799999999</v>
      </c>
      <c r="AY91" s="346">
        <v>18211.766899999999</v>
      </c>
      <c r="AZ91" s="346">
        <v>14753.054789999998</v>
      </c>
      <c r="BA91" s="278">
        <v>377.39135999999996</v>
      </c>
      <c r="BB91" s="345">
        <v>45.208269999999999</v>
      </c>
      <c r="BC91" s="278">
        <v>413.14325000000002</v>
      </c>
      <c r="BD91" s="278">
        <v>1.4810300000000001</v>
      </c>
      <c r="BE91" s="346">
        <v>9718.4454900000001</v>
      </c>
      <c r="BG91" s="343">
        <v>3375.5609900000004</v>
      </c>
      <c r="BH91" s="343">
        <v>0</v>
      </c>
      <c r="BI91" s="343">
        <v>0</v>
      </c>
      <c r="BJ91" s="346">
        <v>6342.8845000000001</v>
      </c>
      <c r="BK91" s="346">
        <v>-28.410310000000003</v>
      </c>
      <c r="BL91" s="346">
        <v>4000</v>
      </c>
      <c r="BM91" s="343">
        <v>0</v>
      </c>
      <c r="BN91" s="346">
        <v>2371.2948099999999</v>
      </c>
      <c r="BP91" s="346">
        <v>29781.811739999997</v>
      </c>
      <c r="BQ91" s="318">
        <v>10071.02132</v>
      </c>
      <c r="BR91" s="278">
        <v>352.57583</v>
      </c>
      <c r="BS91" s="475">
        <v>-5364.9542699999993</v>
      </c>
      <c r="BT91" s="278">
        <v>284.10154999999997</v>
      </c>
      <c r="BU91" s="278">
        <v>84.108229999999992</v>
      </c>
      <c r="BV91" s="345">
        <v>17144.501820000001</v>
      </c>
      <c r="BX91" s="278">
        <v>1599.425</v>
      </c>
      <c r="BY91" s="483">
        <v>1.9624600000000001</v>
      </c>
      <c r="BZ91" s="483">
        <v>-880.86800000000005</v>
      </c>
      <c r="CA91" s="260"/>
      <c r="CB91" s="347">
        <v>8.1</v>
      </c>
      <c r="CC91" s="486">
        <f t="shared" si="1"/>
        <v>8.1</v>
      </c>
      <c r="CD91" s="287"/>
      <c r="CE91" s="278"/>
      <c r="CF91" s="268"/>
      <c r="CG91" s="266"/>
      <c r="CI91" s="158">
        <v>0</v>
      </c>
      <c r="CJ91" s="343">
        <v>12522.725368652005</v>
      </c>
      <c r="CK91" s="343">
        <v>13888.516285026961</v>
      </c>
      <c r="CL91" s="343">
        <v>14221.734431454259</v>
      </c>
      <c r="CM91" s="487">
        <v>14138.132310824334</v>
      </c>
      <c r="CN91" s="487">
        <v>15735.0099774175</v>
      </c>
      <c r="CO91" s="495">
        <v>-106.48399999999999</v>
      </c>
      <c r="CP91" s="299"/>
      <c r="CQ91" s="489">
        <v>0</v>
      </c>
      <c r="CR91" s="489">
        <v>0.56794</v>
      </c>
    </row>
    <row r="92" spans="1:96" x14ac:dyDescent="0.2">
      <c r="A92" s="154">
        <v>261</v>
      </c>
      <c r="B92" s="156" t="s">
        <v>124</v>
      </c>
      <c r="C92" s="337">
        <v>6637</v>
      </c>
      <c r="D92" s="276">
        <v>20.25</v>
      </c>
      <c r="E92" s="185"/>
      <c r="G92" s="278">
        <v>10945.43741</v>
      </c>
      <c r="H92" s="278">
        <v>63628.032920000005</v>
      </c>
      <c r="I92" s="278"/>
      <c r="J92" s="278">
        <v>22421.21574</v>
      </c>
      <c r="K92" s="278">
        <v>5480.8390099999997</v>
      </c>
      <c r="L92" s="278">
        <v>7553.0734599999996</v>
      </c>
      <c r="M92" s="278">
        <v>35455.128210000003</v>
      </c>
      <c r="N92" s="278">
        <v>25733.194</v>
      </c>
      <c r="O92" s="278">
        <v>6.1075799999999996</v>
      </c>
      <c r="P92" s="278">
        <v>64.408100000000005</v>
      </c>
      <c r="Q92" s="278">
        <v>3261.3705800000002</v>
      </c>
      <c r="R92" s="278">
        <v>1.24925</v>
      </c>
      <c r="S92" s="278">
        <v>12009.526220000002</v>
      </c>
      <c r="U92" s="278">
        <v>3263.3714599999998</v>
      </c>
      <c r="V92" s="278">
        <v>0</v>
      </c>
      <c r="W92" s="278">
        <v>0</v>
      </c>
      <c r="X92" s="278">
        <v>8746.1547599999994</v>
      </c>
      <c r="Y92" s="278">
        <v>585.78594999999996</v>
      </c>
      <c r="Z92" s="278">
        <v>1500</v>
      </c>
      <c r="AA92" s="278">
        <v>0</v>
      </c>
      <c r="AB92" s="278">
        <v>6660.3688099999999</v>
      </c>
      <c r="AD92" s="278">
        <v>35503.33122</v>
      </c>
      <c r="AE92" s="157">
        <v>11050.006380000001</v>
      </c>
      <c r="AF92" s="184">
        <v>-959.51983999999993</v>
      </c>
      <c r="AG92" s="278">
        <v>-5429.0629400000007</v>
      </c>
      <c r="AH92" s="278">
        <v>37.720800000000004</v>
      </c>
      <c r="AI92" s="184">
        <v>1163.30384</v>
      </c>
      <c r="AJ92" s="278">
        <v>10727.421259999999</v>
      </c>
      <c r="AL92" s="278">
        <v>6645.5141099999992</v>
      </c>
      <c r="AM92" s="184">
        <v>-67.45</v>
      </c>
      <c r="AN92" s="278">
        <v>-2047.9388700000002</v>
      </c>
      <c r="AO92" s="355">
        <v>6822</v>
      </c>
      <c r="AP92" s="344">
        <v>7.61</v>
      </c>
      <c r="AQ92" s="462"/>
      <c r="AS92" s="469">
        <v>7353.8791100000008</v>
      </c>
      <c r="AT92" s="278">
        <v>33925.25404</v>
      </c>
      <c r="AU92" s="464"/>
      <c r="AV92" s="346">
        <v>12278.00655</v>
      </c>
      <c r="AW92" s="346">
        <v>5621.4029</v>
      </c>
      <c r="AX92" s="346">
        <v>8354.1563700000006</v>
      </c>
      <c r="AY92" s="346">
        <v>26253.56582</v>
      </c>
      <c r="AZ92" s="346">
        <v>10685.396000000001</v>
      </c>
      <c r="BA92" s="278">
        <v>39.967760000000006</v>
      </c>
      <c r="BB92" s="345">
        <v>163.67338000000001</v>
      </c>
      <c r="BC92" s="278">
        <v>4283.8338400000002</v>
      </c>
      <c r="BD92" s="278">
        <v>0.9858300000000001</v>
      </c>
      <c r="BE92" s="346">
        <v>14733.002769999999</v>
      </c>
      <c r="BG92" s="343">
        <v>3301.9112500000001</v>
      </c>
      <c r="BH92" s="346">
        <v>0</v>
      </c>
      <c r="BI92" s="343">
        <v>0</v>
      </c>
      <c r="BJ92" s="346">
        <v>11431.09152</v>
      </c>
      <c r="BK92" s="343">
        <v>1102.616</v>
      </c>
      <c r="BL92" s="346">
        <v>-1600</v>
      </c>
      <c r="BM92" s="343">
        <v>500</v>
      </c>
      <c r="BN92" s="346">
        <v>11428.47552</v>
      </c>
      <c r="BP92" s="346">
        <v>46931.80674</v>
      </c>
      <c r="BQ92" s="318">
        <v>14256.81077</v>
      </c>
      <c r="BR92" s="278">
        <v>-476.19200000000001</v>
      </c>
      <c r="BS92" s="475">
        <v>-15909.5051</v>
      </c>
      <c r="BT92" s="278">
        <v>540.0391800000001</v>
      </c>
      <c r="BU92" s="278">
        <v>492.5</v>
      </c>
      <c r="BV92" s="345">
        <v>7581.59076</v>
      </c>
      <c r="BX92" s="278">
        <v>4591.4488499999998</v>
      </c>
      <c r="BY92" s="483">
        <v>169</v>
      </c>
      <c r="BZ92" s="483">
        <v>-2054.0652599999999</v>
      </c>
      <c r="CA92" s="260"/>
      <c r="CB92" s="347">
        <v>7.5999999999999988</v>
      </c>
      <c r="CC92" s="486">
        <f t="shared" si="1"/>
        <v>7.5999999999999988</v>
      </c>
      <c r="CD92" s="287"/>
      <c r="CE92" s="278"/>
      <c r="CF92" s="268"/>
      <c r="CI92" s="158">
        <v>0</v>
      </c>
      <c r="CJ92" s="343">
        <v>11801.263064439605</v>
      </c>
      <c r="CK92" s="343">
        <v>12705.630699196523</v>
      </c>
      <c r="CL92" s="343">
        <v>12311.887690079124</v>
      </c>
      <c r="CM92" s="487">
        <v>12460.425584280569</v>
      </c>
      <c r="CN92" s="487">
        <v>12824.568793033246</v>
      </c>
      <c r="CO92" s="495">
        <v>76.861000000000004</v>
      </c>
      <c r="CP92" s="299"/>
      <c r="CQ92" s="489">
        <v>301.97871000000004</v>
      </c>
      <c r="CR92" s="489">
        <v>206.27348999999998</v>
      </c>
    </row>
    <row r="93" spans="1:96" x14ac:dyDescent="0.2">
      <c r="A93" s="154">
        <v>263</v>
      </c>
      <c r="B93" s="156" t="s">
        <v>125</v>
      </c>
      <c r="C93" s="337">
        <v>7597</v>
      </c>
      <c r="D93" s="276">
        <v>21.75</v>
      </c>
      <c r="E93" s="185"/>
      <c r="G93" s="278">
        <v>7810.1580599999998</v>
      </c>
      <c r="H93" s="278">
        <v>63637.000509999998</v>
      </c>
      <c r="I93" s="278"/>
      <c r="J93" s="278">
        <v>21701.346320000001</v>
      </c>
      <c r="K93" s="278">
        <v>3208.4572699999999</v>
      </c>
      <c r="L93" s="278">
        <v>1755.7667799999999</v>
      </c>
      <c r="M93" s="278">
        <v>26665.570370000001</v>
      </c>
      <c r="N93" s="278">
        <v>34327.383000000002</v>
      </c>
      <c r="O93" s="278">
        <v>7.5170399999999997</v>
      </c>
      <c r="P93" s="278">
        <v>185.91707</v>
      </c>
      <c r="Q93" s="278">
        <v>1321.14624</v>
      </c>
      <c r="R93" s="278">
        <v>388.79698999999999</v>
      </c>
      <c r="S93" s="278">
        <v>5959.7298099999998</v>
      </c>
      <c r="U93" s="278">
        <v>4125.8255799999997</v>
      </c>
      <c r="V93" s="278">
        <v>0</v>
      </c>
      <c r="W93" s="278">
        <v>0</v>
      </c>
      <c r="X93" s="278">
        <v>1833.9042299999999</v>
      </c>
      <c r="Y93" s="278">
        <v>-17.189</v>
      </c>
      <c r="Z93" s="278">
        <v>900</v>
      </c>
      <c r="AA93" s="278">
        <v>0</v>
      </c>
      <c r="AB93" s="278">
        <v>951.09322999999995</v>
      </c>
      <c r="AD93" s="278">
        <v>1724.3251299999999</v>
      </c>
      <c r="AE93" s="157">
        <v>5681.37129</v>
      </c>
      <c r="AF93" s="184">
        <v>-278.35852</v>
      </c>
      <c r="AG93" s="278">
        <v>-3168.9763199999998</v>
      </c>
      <c r="AH93" s="278">
        <v>239.55723999999998</v>
      </c>
      <c r="AI93" s="184">
        <v>559.30170999999996</v>
      </c>
      <c r="AJ93" s="278">
        <v>9148.0012499999993</v>
      </c>
      <c r="AL93" s="278">
        <v>28700.879000000001</v>
      </c>
      <c r="AM93" s="184">
        <v>10.89025</v>
      </c>
      <c r="AN93" s="278">
        <v>-3927.4757400000003</v>
      </c>
      <c r="AO93" s="355">
        <v>7475</v>
      </c>
      <c r="AP93" s="344">
        <v>9.11</v>
      </c>
      <c r="AQ93" s="462"/>
      <c r="AS93" s="469">
        <v>6840.5939900000003</v>
      </c>
      <c r="AT93" s="278">
        <v>27837.09074</v>
      </c>
      <c r="AU93" s="464"/>
      <c r="AV93" s="346">
        <v>11275.713109999999</v>
      </c>
      <c r="AW93" s="346">
        <v>1874.8393100000001</v>
      </c>
      <c r="AX93" s="346">
        <v>1608.0380400000001</v>
      </c>
      <c r="AY93" s="346">
        <v>14758.590460000001</v>
      </c>
      <c r="AZ93" s="346">
        <v>9840.0220000000008</v>
      </c>
      <c r="BA93" s="278">
        <v>7.4941300000000002</v>
      </c>
      <c r="BB93" s="345">
        <v>625.31561999999997</v>
      </c>
      <c r="BC93" s="278">
        <v>1504.1214</v>
      </c>
      <c r="BD93" s="278">
        <v>53.698730000000005</v>
      </c>
      <c r="BE93" s="346">
        <v>4474.2015099999999</v>
      </c>
      <c r="BG93" s="343">
        <v>3924.5486299999998</v>
      </c>
      <c r="BH93" s="343">
        <v>0</v>
      </c>
      <c r="BI93" s="343">
        <v>0</v>
      </c>
      <c r="BJ93" s="346">
        <v>549.65287999999998</v>
      </c>
      <c r="BK93" s="346">
        <v>-17.188970000000001</v>
      </c>
      <c r="BL93" s="343">
        <v>0</v>
      </c>
      <c r="BM93" s="343">
        <v>0</v>
      </c>
      <c r="BN93" s="346">
        <v>566.84185000000002</v>
      </c>
      <c r="BP93" s="346">
        <v>2291.16698</v>
      </c>
      <c r="BQ93" s="318">
        <v>5131.5080499999995</v>
      </c>
      <c r="BR93" s="278">
        <v>657.30654000000004</v>
      </c>
      <c r="BS93" s="475">
        <v>-3683.6563099999998</v>
      </c>
      <c r="BT93" s="278">
        <v>311.97970000000004</v>
      </c>
      <c r="BU93" s="278">
        <v>3180.9149900000002</v>
      </c>
      <c r="BV93" s="345">
        <v>8963.5908099999997</v>
      </c>
      <c r="BX93" s="278">
        <v>23472.563000000002</v>
      </c>
      <c r="BY93" s="483">
        <v>3.79887</v>
      </c>
      <c r="BZ93" s="483">
        <v>-5228.3159999999998</v>
      </c>
      <c r="CA93" s="260"/>
      <c r="CB93" s="347">
        <v>9.5</v>
      </c>
      <c r="CC93" s="486">
        <f t="shared" si="1"/>
        <v>9.5</v>
      </c>
      <c r="CD93" s="287"/>
      <c r="CE93" s="278"/>
      <c r="CF93" s="268"/>
      <c r="CI93" s="158">
        <v>0</v>
      </c>
      <c r="CJ93" s="343">
        <v>9227.2699789132894</v>
      </c>
      <c r="CK93" s="343">
        <v>9573.6531593667441</v>
      </c>
      <c r="CL93" s="343">
        <v>10020.111661864947</v>
      </c>
      <c r="CM93" s="487">
        <v>9902.1161944134292</v>
      </c>
      <c r="CN93" s="487">
        <v>11080.751814470583</v>
      </c>
      <c r="CO93" s="495">
        <v>-383.86</v>
      </c>
      <c r="CP93" s="299"/>
      <c r="CQ93" s="489">
        <v>39.669669999999996</v>
      </c>
      <c r="CR93" s="489">
        <v>39.48462</v>
      </c>
    </row>
    <row r="94" spans="1:96" x14ac:dyDescent="0.2">
      <c r="A94" s="154">
        <v>265</v>
      </c>
      <c r="B94" s="156" t="s">
        <v>126</v>
      </c>
      <c r="C94" s="337">
        <v>1064</v>
      </c>
      <c r="D94" s="276">
        <v>21.75</v>
      </c>
      <c r="E94" s="185"/>
      <c r="G94" s="278">
        <v>1375.4409800000001</v>
      </c>
      <c r="H94" s="278">
        <v>9321.6479299999992</v>
      </c>
      <c r="I94" s="278"/>
      <c r="J94" s="278">
        <v>2916.2770299999997</v>
      </c>
      <c r="K94" s="278">
        <v>1029.04387</v>
      </c>
      <c r="L94" s="278">
        <v>534.85501999999997</v>
      </c>
      <c r="M94" s="278">
        <v>4480.1759199999997</v>
      </c>
      <c r="N94" s="278">
        <v>5427.7370000000001</v>
      </c>
      <c r="O94" s="278">
        <v>0</v>
      </c>
      <c r="P94" s="278">
        <v>33.819600000000001</v>
      </c>
      <c r="Q94" s="278">
        <v>17.610299999999999</v>
      </c>
      <c r="R94" s="278">
        <v>0.64634999999999998</v>
      </c>
      <c r="S94" s="278">
        <v>1944.85032</v>
      </c>
      <c r="U94" s="278">
        <v>526.09710999999993</v>
      </c>
      <c r="V94" s="278">
        <v>0</v>
      </c>
      <c r="W94" s="278">
        <v>0</v>
      </c>
      <c r="X94" s="278">
        <v>1418.7532099999999</v>
      </c>
      <c r="Y94" s="278">
        <v>-20.34665</v>
      </c>
      <c r="Z94" s="278">
        <v>0</v>
      </c>
      <c r="AA94" s="278">
        <v>0</v>
      </c>
      <c r="AB94" s="278">
        <v>1439.09986</v>
      </c>
      <c r="AD94" s="278">
        <v>4106.2837399999999</v>
      </c>
      <c r="AE94" s="157">
        <v>1804.4886399999998</v>
      </c>
      <c r="AF94" s="184">
        <v>-140.36168000000001</v>
      </c>
      <c r="AG94" s="278">
        <v>-117.81756</v>
      </c>
      <c r="AH94" s="278">
        <v>0</v>
      </c>
      <c r="AI94" s="184">
        <v>0</v>
      </c>
      <c r="AJ94" s="278">
        <v>3389.4916000000003</v>
      </c>
      <c r="AL94" s="278">
        <v>4270.4012200000006</v>
      </c>
      <c r="AM94" s="184">
        <v>0</v>
      </c>
      <c r="AN94" s="278">
        <v>-434.33408000000003</v>
      </c>
      <c r="AO94" s="355">
        <v>1035</v>
      </c>
      <c r="AP94" s="344">
        <v>9.11</v>
      </c>
      <c r="AQ94" s="462"/>
      <c r="AS94" s="469">
        <v>1531.2667300000001</v>
      </c>
      <c r="AT94" s="278">
        <v>4104.8032000000003</v>
      </c>
      <c r="AU94" s="464"/>
      <c r="AV94" s="346">
        <v>1257.6018100000001</v>
      </c>
      <c r="AW94" s="346">
        <v>589.08105</v>
      </c>
      <c r="AX94" s="346">
        <v>558.38271999999995</v>
      </c>
      <c r="AY94" s="346">
        <v>2405.06558</v>
      </c>
      <c r="AZ94" s="346">
        <v>1560.23</v>
      </c>
      <c r="BA94" s="278">
        <v>0</v>
      </c>
      <c r="BB94" s="345">
        <v>117.65155</v>
      </c>
      <c r="BC94" s="278">
        <v>19.10716</v>
      </c>
      <c r="BD94" s="278">
        <v>2.7019999999999999E-2</v>
      </c>
      <c r="BE94" s="346">
        <v>1293.1876999999999</v>
      </c>
      <c r="BG94" s="343">
        <v>639.32038999999997</v>
      </c>
      <c r="BH94" s="346">
        <v>0</v>
      </c>
      <c r="BI94" s="343">
        <v>0</v>
      </c>
      <c r="BJ94" s="346">
        <v>653.86731000000009</v>
      </c>
      <c r="BK94" s="343">
        <v>-20.34665</v>
      </c>
      <c r="BL94" s="343">
        <v>0</v>
      </c>
      <c r="BM94" s="343">
        <v>0</v>
      </c>
      <c r="BN94" s="346">
        <v>674.21395999999993</v>
      </c>
      <c r="BP94" s="346">
        <v>4780.4976999999999</v>
      </c>
      <c r="BQ94" s="318">
        <v>1268.1876999999999</v>
      </c>
      <c r="BR94" s="278">
        <v>-25</v>
      </c>
      <c r="BS94" s="475">
        <v>-527.90767000000005</v>
      </c>
      <c r="BT94" s="278">
        <v>154.14400000000001</v>
      </c>
      <c r="BU94" s="278">
        <v>334.45100000000002</v>
      </c>
      <c r="BV94" s="345">
        <v>4286.6826500000006</v>
      </c>
      <c r="BX94" s="278">
        <v>3944.6840000000002</v>
      </c>
      <c r="BY94" s="483">
        <v>0</v>
      </c>
      <c r="BZ94" s="483">
        <v>-325.71722</v>
      </c>
      <c r="CA94" s="260"/>
      <c r="CB94" s="347">
        <v>9.1</v>
      </c>
      <c r="CC94" s="486">
        <f t="shared" si="1"/>
        <v>9.1</v>
      </c>
      <c r="CD94" s="287"/>
      <c r="CE94" s="278"/>
      <c r="CF94" s="268"/>
      <c r="CI94" s="158">
        <v>0</v>
      </c>
      <c r="CJ94" s="343">
        <v>1660.3491343580345</v>
      </c>
      <c r="CK94" s="343">
        <v>1723.736957362866</v>
      </c>
      <c r="CL94" s="343">
        <v>1561.2836855192575</v>
      </c>
      <c r="CM94" s="487">
        <v>1541.5133839138844</v>
      </c>
      <c r="CN94" s="487">
        <v>1689.9864529788356</v>
      </c>
      <c r="CO94" s="495">
        <v>-283.17200000000003</v>
      </c>
      <c r="CP94" s="299"/>
      <c r="CQ94" s="489">
        <v>0</v>
      </c>
      <c r="CR94" s="489">
        <v>0</v>
      </c>
    </row>
    <row r="95" spans="1:96" x14ac:dyDescent="0.2">
      <c r="A95" s="154">
        <v>271</v>
      </c>
      <c r="B95" s="156" t="s">
        <v>127</v>
      </c>
      <c r="C95" s="337">
        <v>6903</v>
      </c>
      <c r="D95" s="276">
        <v>21.75</v>
      </c>
      <c r="E95" s="185"/>
      <c r="G95" s="278">
        <v>4685.2482300000001</v>
      </c>
      <c r="H95" s="278">
        <v>51414.429270000001</v>
      </c>
      <c r="I95" s="278"/>
      <c r="J95" s="278">
        <v>23221.508719999998</v>
      </c>
      <c r="K95" s="278">
        <v>2055.75684</v>
      </c>
      <c r="L95" s="278">
        <v>2733.0133700000001</v>
      </c>
      <c r="M95" s="278">
        <v>28010.27893</v>
      </c>
      <c r="N95" s="278">
        <v>21036.757000000001</v>
      </c>
      <c r="O95" s="278">
        <v>10.61849</v>
      </c>
      <c r="P95" s="278">
        <v>92.599580000000003</v>
      </c>
      <c r="Q95" s="278">
        <v>186.25251</v>
      </c>
      <c r="R95" s="278">
        <v>8.4546299999999999</v>
      </c>
      <c r="S95" s="278">
        <v>2413.6716800000004</v>
      </c>
      <c r="U95" s="278">
        <v>1862.42884</v>
      </c>
      <c r="V95" s="278">
        <v>0</v>
      </c>
      <c r="W95" s="278">
        <v>0</v>
      </c>
      <c r="X95" s="278">
        <v>551.24284</v>
      </c>
      <c r="Y95" s="278">
        <v>0</v>
      </c>
      <c r="Z95" s="278">
        <v>0</v>
      </c>
      <c r="AA95" s="278">
        <v>0</v>
      </c>
      <c r="AB95" s="278">
        <v>551.24284</v>
      </c>
      <c r="AD95" s="278">
        <v>4574.4374399999997</v>
      </c>
      <c r="AE95" s="157">
        <v>2325.2644700000001</v>
      </c>
      <c r="AF95" s="184">
        <v>-91.612460000000013</v>
      </c>
      <c r="AG95" s="278">
        <v>-1316.3187499999999</v>
      </c>
      <c r="AH95" s="278">
        <v>207.71873000000002</v>
      </c>
      <c r="AI95" s="184">
        <v>107.77027000000001</v>
      </c>
      <c r="AJ95" s="278">
        <v>1879.23389</v>
      </c>
      <c r="AL95" s="278">
        <v>21902.588609999999</v>
      </c>
      <c r="AM95" s="184">
        <v>2214.2354500000001</v>
      </c>
      <c r="AN95" s="278">
        <v>-4175.4904800000004</v>
      </c>
      <c r="AO95" s="355">
        <v>6766</v>
      </c>
      <c r="AP95" s="344">
        <v>9.11</v>
      </c>
      <c r="AQ95" s="462"/>
      <c r="AS95" s="469">
        <v>4010.5983900000001</v>
      </c>
      <c r="AT95" s="278">
        <v>20011.947059999999</v>
      </c>
      <c r="AU95" s="464"/>
      <c r="AV95" s="346">
        <v>12320.498960000001</v>
      </c>
      <c r="AW95" s="346">
        <v>1269.82115</v>
      </c>
      <c r="AX95" s="346">
        <v>2466.9908300000002</v>
      </c>
      <c r="AY95" s="346">
        <v>16057.310939999999</v>
      </c>
      <c r="AZ95" s="346">
        <v>4148.9610000000002</v>
      </c>
      <c r="BA95" s="278">
        <v>119.35339999999999</v>
      </c>
      <c r="BB95" s="345">
        <v>330.85167999999999</v>
      </c>
      <c r="BC95" s="278">
        <v>23.013960000000001</v>
      </c>
      <c r="BD95" s="278">
        <v>11.07522</v>
      </c>
      <c r="BE95" s="346">
        <v>4005.36373</v>
      </c>
      <c r="BG95" s="343">
        <v>2148.0299500000001</v>
      </c>
      <c r="BH95" s="343">
        <v>15.733930000000001</v>
      </c>
      <c r="BI95" s="346">
        <v>0</v>
      </c>
      <c r="BJ95" s="346">
        <v>1873.06771</v>
      </c>
      <c r="BK95" s="343">
        <v>0</v>
      </c>
      <c r="BL95" s="343">
        <v>0</v>
      </c>
      <c r="BM95" s="343">
        <v>0</v>
      </c>
      <c r="BN95" s="346">
        <v>1873.06771</v>
      </c>
      <c r="BP95" s="346">
        <v>6447.5051500000009</v>
      </c>
      <c r="BQ95" s="318">
        <v>4021.0976600000004</v>
      </c>
      <c r="BR95" s="278">
        <v>0</v>
      </c>
      <c r="BS95" s="475">
        <v>-1867.75954</v>
      </c>
      <c r="BT95" s="278">
        <v>26.003</v>
      </c>
      <c r="BU95" s="278">
        <v>0</v>
      </c>
      <c r="BV95" s="345">
        <v>2107.8164200000001</v>
      </c>
      <c r="BX95" s="278">
        <v>15682.47812</v>
      </c>
      <c r="BY95" s="483">
        <v>15</v>
      </c>
      <c r="BZ95" s="483">
        <v>-1520.11049</v>
      </c>
      <c r="CA95" s="260"/>
      <c r="CB95" s="347">
        <v>9.1999999999999993</v>
      </c>
      <c r="CC95" s="486">
        <f t="shared" si="1"/>
        <v>9.1999999999999993</v>
      </c>
      <c r="CD95" s="287"/>
      <c r="CE95" s="278"/>
      <c r="CF95" s="268"/>
      <c r="CI95" s="158">
        <v>0</v>
      </c>
      <c r="CJ95" s="343">
        <v>2844.9383585878086</v>
      </c>
      <c r="CK95" s="343">
        <v>3355.0218048726383</v>
      </c>
      <c r="CL95" s="343">
        <v>3566.3641271697284</v>
      </c>
      <c r="CM95" s="487">
        <v>3840.617588495792</v>
      </c>
      <c r="CN95" s="487">
        <v>4682.9589351530185</v>
      </c>
      <c r="CO95" s="495">
        <v>-362.334</v>
      </c>
      <c r="CP95" s="299"/>
      <c r="CQ95" s="489">
        <v>0</v>
      </c>
      <c r="CR95" s="489">
        <v>0</v>
      </c>
    </row>
    <row r="96" spans="1:96" x14ac:dyDescent="0.2">
      <c r="A96" s="154">
        <v>272</v>
      </c>
      <c r="B96" s="156" t="s">
        <v>128</v>
      </c>
      <c r="C96" s="337">
        <v>48006</v>
      </c>
      <c r="D96" s="276">
        <v>21.499999999999996</v>
      </c>
      <c r="E96" s="185"/>
      <c r="G96" s="278">
        <v>45301.809000000001</v>
      </c>
      <c r="H96" s="278">
        <v>357331.03781000001</v>
      </c>
      <c r="I96" s="278"/>
      <c r="J96" s="278">
        <v>179333.63616999998</v>
      </c>
      <c r="K96" s="278">
        <v>25974.125960000001</v>
      </c>
      <c r="L96" s="278">
        <v>16028.554390000001</v>
      </c>
      <c r="M96" s="278">
        <v>221336.31652000002</v>
      </c>
      <c r="N96" s="278">
        <v>109212.431</v>
      </c>
      <c r="O96" s="278">
        <v>127.47383000000001</v>
      </c>
      <c r="P96" s="278">
        <v>2508.16428</v>
      </c>
      <c r="Q96" s="278">
        <v>6456.7078200000005</v>
      </c>
      <c r="R96" s="278">
        <v>179.59429</v>
      </c>
      <c r="S96" s="278">
        <v>24322.163329999999</v>
      </c>
      <c r="U96" s="278">
        <v>15517.83949</v>
      </c>
      <c r="V96" s="278">
        <v>0</v>
      </c>
      <c r="W96" s="278">
        <v>0</v>
      </c>
      <c r="X96" s="278">
        <v>8804.3238399999991</v>
      </c>
      <c r="Y96" s="278">
        <v>-380.86068</v>
      </c>
      <c r="Z96" s="278">
        <v>180.83001999999999</v>
      </c>
      <c r="AA96" s="278">
        <v>550</v>
      </c>
      <c r="AB96" s="278">
        <v>8454.3544999999995</v>
      </c>
      <c r="AD96" s="278">
        <v>38190.086379999993</v>
      </c>
      <c r="AE96" s="157">
        <v>17307.72032</v>
      </c>
      <c r="AF96" s="184">
        <v>-7014.44301</v>
      </c>
      <c r="AG96" s="278">
        <v>-19352.024579999998</v>
      </c>
      <c r="AH96" s="278">
        <v>572.35505000000001</v>
      </c>
      <c r="AI96" s="184">
        <v>8697.39912</v>
      </c>
      <c r="AJ96" s="278">
        <v>31904.045990000002</v>
      </c>
      <c r="AL96" s="278">
        <v>235633.32913000003</v>
      </c>
      <c r="AM96" s="184">
        <v>600</v>
      </c>
      <c r="AN96" s="278">
        <v>7514.4737400000004</v>
      </c>
      <c r="AO96" s="355">
        <v>48295</v>
      </c>
      <c r="AP96" s="344">
        <v>8.860000000000003</v>
      </c>
      <c r="AQ96" s="462"/>
      <c r="AS96" s="469">
        <v>34790.125070000002</v>
      </c>
      <c r="AT96" s="278">
        <v>166089.97496000002</v>
      </c>
      <c r="AU96" s="464"/>
      <c r="AV96" s="346">
        <v>91338.164799999999</v>
      </c>
      <c r="AW96" s="346">
        <v>17131.8878</v>
      </c>
      <c r="AX96" s="346">
        <v>16321.54717</v>
      </c>
      <c r="AY96" s="346">
        <v>124791.59977</v>
      </c>
      <c r="AZ96" s="346">
        <v>32916.976999999999</v>
      </c>
      <c r="BA96" s="278">
        <v>267.92265000000003</v>
      </c>
      <c r="BB96" s="345">
        <v>3521.0742300000002</v>
      </c>
      <c r="BC96" s="278">
        <v>1378.7340900000002</v>
      </c>
      <c r="BD96" s="278">
        <v>237.16138000000001</v>
      </c>
      <c r="BE96" s="346">
        <v>26248.007850000002</v>
      </c>
      <c r="BG96" s="343">
        <v>17896.614399999999</v>
      </c>
      <c r="BH96" s="346">
        <v>0</v>
      </c>
      <c r="BI96" s="343">
        <v>0</v>
      </c>
      <c r="BJ96" s="346">
        <v>8351.3934499999996</v>
      </c>
      <c r="BK96" s="346">
        <v>-377.60795000000002</v>
      </c>
      <c r="BL96" s="346">
        <v>-1620.9306000000001</v>
      </c>
      <c r="BM96" s="346">
        <v>0</v>
      </c>
      <c r="BN96" s="346">
        <v>10349.932000000001</v>
      </c>
      <c r="BP96" s="346">
        <v>48661.333780000001</v>
      </c>
      <c r="BQ96" s="318">
        <v>25196.148850000001</v>
      </c>
      <c r="BR96" s="278">
        <v>-1051.8589999999999</v>
      </c>
      <c r="BS96" s="475">
        <v>-25023.60586</v>
      </c>
      <c r="BT96" s="278">
        <v>130.99533</v>
      </c>
      <c r="BU96" s="278">
        <v>2099.8412899999998</v>
      </c>
      <c r="BV96" s="345">
        <v>26479.790860000001</v>
      </c>
      <c r="BX96" s="278">
        <v>232491.96648</v>
      </c>
      <c r="BY96" s="483">
        <v>82.9</v>
      </c>
      <c r="BZ96" s="483">
        <v>-3141.36265</v>
      </c>
      <c r="CA96" s="260"/>
      <c r="CB96" s="347">
        <v>8.9000000000000021</v>
      </c>
      <c r="CC96" s="486">
        <f t="shared" si="1"/>
        <v>8.9000000000000021</v>
      </c>
      <c r="CD96" s="287"/>
      <c r="CE96" s="278"/>
      <c r="CF96" s="268"/>
      <c r="CI96" s="158">
        <v>0</v>
      </c>
      <c r="CJ96" s="343">
        <v>26050.427656673914</v>
      </c>
      <c r="CK96" s="343">
        <v>30577.348884078932</v>
      </c>
      <c r="CL96" s="343">
        <v>33750.277931250581</v>
      </c>
      <c r="CM96" s="487">
        <v>35150.24935566722</v>
      </c>
      <c r="CN96" s="487">
        <v>38052.022272026952</v>
      </c>
      <c r="CO96" s="495">
        <v>-707.28300000000002</v>
      </c>
      <c r="CP96" s="299"/>
      <c r="CQ96" s="489">
        <v>1906.22154</v>
      </c>
      <c r="CR96" s="489">
        <v>1950.8598400000001</v>
      </c>
    </row>
    <row r="97" spans="1:96" x14ac:dyDescent="0.2">
      <c r="B97" s="173" t="s">
        <v>391</v>
      </c>
      <c r="C97" s="337">
        <v>5533611</v>
      </c>
      <c r="D97" s="276">
        <v>20.010000000000002</v>
      </c>
      <c r="E97" s="185"/>
      <c r="G97" s="278">
        <v>7886096.539239998</v>
      </c>
      <c r="H97" s="278">
        <v>42494269.490759999</v>
      </c>
      <c r="I97" s="278"/>
      <c r="J97" s="278">
        <v>21642788.674419995</v>
      </c>
      <c r="K97" s="278">
        <v>3031676.0252499995</v>
      </c>
      <c r="L97" s="278">
        <v>2092036.2994600011</v>
      </c>
      <c r="M97" s="278">
        <v>26769380.297320005</v>
      </c>
      <c r="N97" s="278">
        <v>10735652.397440003</v>
      </c>
      <c r="O97" s="278">
        <v>226650.57937999986</v>
      </c>
      <c r="P97" s="278">
        <v>170185.56795000003</v>
      </c>
      <c r="Q97" s="278">
        <v>449391.94099000021</v>
      </c>
      <c r="R97" s="278">
        <v>171223.9396300001</v>
      </c>
      <c r="S97" s="278">
        <v>3442012.4175800011</v>
      </c>
      <c r="U97" s="278">
        <v>2450985.9136899984</v>
      </c>
      <c r="V97" s="278">
        <v>179141.91770999995</v>
      </c>
      <c r="W97" s="278">
        <v>9724.2125200000009</v>
      </c>
      <c r="X97" s="278">
        <v>1160444.2090799981</v>
      </c>
      <c r="Y97" s="278">
        <v>-18668.631100000013</v>
      </c>
      <c r="Z97" s="278">
        <v>53321.222310000005</v>
      </c>
      <c r="AA97" s="278">
        <v>12695.650040000002</v>
      </c>
      <c r="AB97" s="278">
        <v>1113096.1518999999</v>
      </c>
      <c r="AD97" s="278">
        <v>14924279.643609982</v>
      </c>
      <c r="AE97" s="157">
        <v>2670899.7488600011</v>
      </c>
      <c r="AF97" s="184">
        <v>-907353.59901999915</v>
      </c>
      <c r="AG97" s="278">
        <v>-4230364.4691300001</v>
      </c>
      <c r="AH97" s="278">
        <v>125087.48268999996</v>
      </c>
      <c r="AI97" s="184">
        <v>2016546.8327099991</v>
      </c>
      <c r="AJ97" s="278">
        <v>6965979.3408799991</v>
      </c>
      <c r="AL97" s="278">
        <v>18692992.343869973</v>
      </c>
      <c r="AM97" s="184">
        <v>-471984.34417000005</v>
      </c>
      <c r="AN97" s="278">
        <v>-451297.1654199998</v>
      </c>
      <c r="AO97" s="355">
        <v>5573310</v>
      </c>
      <c r="AP97" s="344">
        <v>7.33</v>
      </c>
      <c r="AQ97" s="462"/>
      <c r="AS97" s="469">
        <v>5811772.0183600029</v>
      </c>
      <c r="AT97" s="278">
        <v>20300509.567899991</v>
      </c>
      <c r="AU97" s="464"/>
      <c r="AV97" s="346">
        <v>10219224.574570006</v>
      </c>
      <c r="AW97" s="346">
        <v>2052377.4093800003</v>
      </c>
      <c r="AX97" s="346">
        <v>2182937.7717000004</v>
      </c>
      <c r="AY97" s="346">
        <v>14454539.581440002</v>
      </c>
      <c r="AZ97" s="343">
        <v>3625507.6442200001</v>
      </c>
      <c r="BA97" s="278">
        <v>320893.90259000013</v>
      </c>
      <c r="BB97" s="345">
        <v>361785.20225999987</v>
      </c>
      <c r="BC97" s="278">
        <v>527763.40029000002</v>
      </c>
      <c r="BD97" s="278">
        <v>63896.792419999998</v>
      </c>
      <c r="BE97" s="346">
        <v>4233801.8336499985</v>
      </c>
      <c r="BG97" s="343">
        <v>2495014.7214300004</v>
      </c>
      <c r="BH97" s="346">
        <v>11813.032939999999</v>
      </c>
      <c r="BI97" s="346">
        <v>29108.376089999998</v>
      </c>
      <c r="BJ97" s="346">
        <v>1721491.7690700011</v>
      </c>
      <c r="BK97" s="346">
        <v>-3015.2443299999977</v>
      </c>
      <c r="BL97" s="346">
        <v>100840.72287000003</v>
      </c>
      <c r="BM97" s="346">
        <v>32535.747809999997</v>
      </c>
      <c r="BN97" s="346">
        <v>1591130.5427199998</v>
      </c>
      <c r="BP97" s="343">
        <v>16574800.531649988</v>
      </c>
      <c r="BQ97" s="318">
        <v>3982704.9828900006</v>
      </c>
      <c r="BR97" s="278">
        <v>-241779.46887999994</v>
      </c>
      <c r="BS97" s="343">
        <v>-4410237.8182400018</v>
      </c>
      <c r="BT97" s="278">
        <v>136833.85095999992</v>
      </c>
      <c r="BU97" s="278">
        <v>584984.28815999953</v>
      </c>
      <c r="BV97" s="345">
        <v>6073124.0360999983</v>
      </c>
      <c r="BX97" s="278">
        <v>18768689.274030007</v>
      </c>
      <c r="BY97" s="483">
        <v>137102.56155000004</v>
      </c>
      <c r="BZ97" s="483">
        <v>74893.713050000006</v>
      </c>
      <c r="CB97" s="347">
        <v>7.46</v>
      </c>
      <c r="CC97" s="486">
        <f t="shared" si="1"/>
        <v>7.46</v>
      </c>
      <c r="CD97" s="287"/>
      <c r="CE97" s="278"/>
      <c r="CF97" s="268"/>
      <c r="CI97" s="158">
        <v>20000</v>
      </c>
      <c r="CJ97" s="343">
        <v>3371435.1477243057</v>
      </c>
      <c r="CK97" s="343">
        <v>3916185.5705907275</v>
      </c>
      <c r="CL97" s="343">
        <v>4057496.9652712019</v>
      </c>
      <c r="CM97" s="487">
        <v>4143792.5250227782</v>
      </c>
      <c r="CN97" s="487">
        <v>4472326.063627555</v>
      </c>
      <c r="CO97" s="495">
        <v>55863.298999999977</v>
      </c>
      <c r="CP97" s="299"/>
      <c r="CQ97" s="489">
        <v>214793.06867000015</v>
      </c>
      <c r="CR97" s="489">
        <v>219524.0802600001</v>
      </c>
    </row>
    <row r="98" spans="1:96" x14ac:dyDescent="0.2">
      <c r="A98" s="154">
        <v>273</v>
      </c>
      <c r="B98" s="156" t="s">
        <v>129</v>
      </c>
      <c r="C98" s="337">
        <v>3999</v>
      </c>
      <c r="D98" s="276">
        <v>20.5</v>
      </c>
      <c r="E98" s="185"/>
      <c r="G98" s="278">
        <v>5661.7918799999998</v>
      </c>
      <c r="H98" s="278">
        <v>37315.86148</v>
      </c>
      <c r="I98" s="278"/>
      <c r="J98" s="278">
        <v>12384.58798</v>
      </c>
      <c r="K98" s="278">
        <v>1442.25559</v>
      </c>
      <c r="L98" s="278">
        <v>3992.0035499999999</v>
      </c>
      <c r="M98" s="278">
        <v>17818.847120000002</v>
      </c>
      <c r="N98" s="278">
        <v>17514.37904</v>
      </c>
      <c r="O98" s="278">
        <v>-1.06372</v>
      </c>
      <c r="P98" s="278">
        <v>37.830550000000002</v>
      </c>
      <c r="Q98" s="278">
        <v>441.67111</v>
      </c>
      <c r="R98" s="278">
        <v>27.32442</v>
      </c>
      <c r="S98" s="278">
        <v>4102.5352499999999</v>
      </c>
      <c r="U98" s="278">
        <v>2343.6815699999997</v>
      </c>
      <c r="V98" s="278">
        <v>0</v>
      </c>
      <c r="W98" s="278">
        <v>0</v>
      </c>
      <c r="X98" s="278">
        <v>1758.8536799999999</v>
      </c>
      <c r="Y98" s="278">
        <v>-14.34943</v>
      </c>
      <c r="Z98" s="278">
        <v>0</v>
      </c>
      <c r="AA98" s="278">
        <v>0</v>
      </c>
      <c r="AB98" s="278">
        <v>1773.2031100000002</v>
      </c>
      <c r="AD98" s="278">
        <v>18578.64732</v>
      </c>
      <c r="AE98" s="157">
        <v>3698.4612099999999</v>
      </c>
      <c r="AF98" s="184">
        <v>-404.07403999999997</v>
      </c>
      <c r="AG98" s="278">
        <v>-1781.1483899999998</v>
      </c>
      <c r="AH98" s="278">
        <v>139.24567999999999</v>
      </c>
      <c r="AI98" s="184">
        <v>873.07983999999999</v>
      </c>
      <c r="AJ98" s="278">
        <v>8852.2138400000003</v>
      </c>
      <c r="AL98" s="278">
        <v>3689.7469999999998</v>
      </c>
      <c r="AM98" s="184">
        <v>-137.02247</v>
      </c>
      <c r="AN98" s="278">
        <v>-335.05200000000002</v>
      </c>
      <c r="AO98" s="355">
        <v>4011</v>
      </c>
      <c r="AP98" s="344">
        <v>7.86</v>
      </c>
      <c r="AQ98" s="462"/>
      <c r="AS98" s="469">
        <v>5701.5142400000004</v>
      </c>
      <c r="AT98" s="278">
        <v>18696.324379999998</v>
      </c>
      <c r="AU98" s="464"/>
      <c r="AV98" s="346">
        <v>6628.98981</v>
      </c>
      <c r="AW98" s="346">
        <v>871.47993000000008</v>
      </c>
      <c r="AX98" s="346">
        <v>4434.4205899999997</v>
      </c>
      <c r="AY98" s="346">
        <v>11934.89033</v>
      </c>
      <c r="AZ98" s="346">
        <v>5242.43</v>
      </c>
      <c r="BA98" s="278">
        <v>24.694479999999999</v>
      </c>
      <c r="BB98" s="345">
        <v>116.33942</v>
      </c>
      <c r="BC98" s="278">
        <v>20.75798</v>
      </c>
      <c r="BD98" s="278">
        <v>0.87224999999999997</v>
      </c>
      <c r="BE98" s="346">
        <v>4196.3563099999992</v>
      </c>
      <c r="BG98" s="343">
        <v>1493.0418300000001</v>
      </c>
      <c r="BH98" s="346">
        <v>38.505989999999997</v>
      </c>
      <c r="BI98" s="346">
        <v>62.959540000000004</v>
      </c>
      <c r="BJ98" s="346">
        <v>2678.8609300000003</v>
      </c>
      <c r="BK98" s="346">
        <v>-14.34943</v>
      </c>
      <c r="BL98" s="346">
        <v>0</v>
      </c>
      <c r="BM98" s="346">
        <v>0</v>
      </c>
      <c r="BN98" s="346">
        <v>2693.21036</v>
      </c>
      <c r="BP98" s="346">
        <v>21271.857680000001</v>
      </c>
      <c r="BQ98" s="318">
        <v>3904.8880899999999</v>
      </c>
      <c r="BR98" s="278">
        <v>-267.01466999999997</v>
      </c>
      <c r="BS98" s="475">
        <v>-1686.90823</v>
      </c>
      <c r="BT98" s="278">
        <v>0</v>
      </c>
      <c r="BU98" s="278">
        <v>455.47266999999999</v>
      </c>
      <c r="BV98" s="345">
        <v>9690.8819600000006</v>
      </c>
      <c r="BX98" s="278">
        <v>3504.6949999999997</v>
      </c>
      <c r="BY98" s="483">
        <v>-116.54955</v>
      </c>
      <c r="BZ98" s="483">
        <v>-185.05199999999999</v>
      </c>
      <c r="CA98" s="262"/>
      <c r="CB98" s="347">
        <v>7.9</v>
      </c>
      <c r="CC98" s="486">
        <f t="shared" si="1"/>
        <v>7.9</v>
      </c>
      <c r="CD98" s="287"/>
      <c r="CE98" s="278"/>
      <c r="CF98" s="268"/>
      <c r="CI98" s="158">
        <v>0</v>
      </c>
      <c r="CJ98" s="343">
        <v>5184.6561661552259</v>
      </c>
      <c r="CK98" s="343">
        <v>5293.1231578710485</v>
      </c>
      <c r="CL98" s="343">
        <v>4803.454120319142</v>
      </c>
      <c r="CM98" s="487">
        <v>4787.380978866805</v>
      </c>
      <c r="CN98" s="487">
        <v>5090.7583843290486</v>
      </c>
      <c r="CO98" s="495">
        <v>-221.124</v>
      </c>
      <c r="CP98" s="299"/>
      <c r="CQ98" s="489">
        <v>47.926269999999995</v>
      </c>
      <c r="CR98" s="489">
        <v>85.605329999999995</v>
      </c>
    </row>
    <row r="99" spans="1:96" x14ac:dyDescent="0.2">
      <c r="A99" s="154">
        <v>275</v>
      </c>
      <c r="B99" s="156" t="s">
        <v>130</v>
      </c>
      <c r="C99" s="337">
        <v>2521</v>
      </c>
      <c r="D99" s="276">
        <v>22</v>
      </c>
      <c r="E99" s="185"/>
      <c r="G99" s="278">
        <v>3274.25641</v>
      </c>
      <c r="H99" s="278">
        <v>22133.473910000001</v>
      </c>
      <c r="I99" s="278"/>
      <c r="J99" s="278">
        <v>7842.2395400000005</v>
      </c>
      <c r="K99" s="278">
        <v>1276.90851</v>
      </c>
      <c r="L99" s="278">
        <v>860.11566000000005</v>
      </c>
      <c r="M99" s="278">
        <v>9979.2637100000011</v>
      </c>
      <c r="N99" s="278">
        <v>10338.039000000001</v>
      </c>
      <c r="O99" s="278">
        <v>25.05509</v>
      </c>
      <c r="P99" s="278">
        <v>188.50513000000001</v>
      </c>
      <c r="Q99" s="278">
        <v>314.36217999999997</v>
      </c>
      <c r="R99" s="278">
        <v>320.80426</v>
      </c>
      <c r="S99" s="278">
        <v>1288.19309</v>
      </c>
      <c r="U99" s="278">
        <v>975.78077000000008</v>
      </c>
      <c r="V99" s="278">
        <v>0</v>
      </c>
      <c r="W99" s="278">
        <v>0</v>
      </c>
      <c r="X99" s="278">
        <v>312.41232000000002</v>
      </c>
      <c r="Y99" s="278">
        <v>0</v>
      </c>
      <c r="Z99" s="278">
        <v>0</v>
      </c>
      <c r="AA99" s="278">
        <v>4.6900000000000004</v>
      </c>
      <c r="AB99" s="278">
        <v>307.72232000000002</v>
      </c>
      <c r="AD99" s="278">
        <v>686.07380000000001</v>
      </c>
      <c r="AE99" s="157">
        <v>1220.0303999999999</v>
      </c>
      <c r="AF99" s="184">
        <v>-68.162689999999998</v>
      </c>
      <c r="AG99" s="278">
        <v>-1271.2334699999999</v>
      </c>
      <c r="AH99" s="278">
        <v>31.347169999999998</v>
      </c>
      <c r="AI99" s="184">
        <v>2.14</v>
      </c>
      <c r="AJ99" s="278">
        <v>424.00128000000001</v>
      </c>
      <c r="AL99" s="278">
        <v>20397.121999999999</v>
      </c>
      <c r="AM99" s="184">
        <v>63</v>
      </c>
      <c r="AN99" s="278">
        <v>-2048.9732100000001</v>
      </c>
      <c r="AO99" s="355">
        <v>2499</v>
      </c>
      <c r="AP99" s="344">
        <v>9.36</v>
      </c>
      <c r="AQ99" s="462"/>
      <c r="AS99" s="469">
        <v>2613.3143399999999</v>
      </c>
      <c r="AT99" s="278">
        <v>8971.9569100000008</v>
      </c>
      <c r="AU99" s="464"/>
      <c r="AV99" s="346">
        <v>3827.5499799999998</v>
      </c>
      <c r="AW99" s="346">
        <v>753.57169999999996</v>
      </c>
      <c r="AX99" s="346">
        <v>876.98881999999992</v>
      </c>
      <c r="AY99" s="346">
        <v>5458.1104999999998</v>
      </c>
      <c r="AZ99" s="346">
        <v>2807.8180000000002</v>
      </c>
      <c r="BA99" s="278">
        <v>26.960789999999999</v>
      </c>
      <c r="BB99" s="345">
        <v>589.76442000000009</v>
      </c>
      <c r="BC99" s="278">
        <v>319.45332999999999</v>
      </c>
      <c r="BD99" s="278">
        <v>35.837000000000003</v>
      </c>
      <c r="BE99" s="346">
        <v>1628.09863</v>
      </c>
      <c r="BG99" s="343">
        <v>947.83262999999999</v>
      </c>
      <c r="BH99" s="346">
        <v>0</v>
      </c>
      <c r="BI99" s="343">
        <v>0</v>
      </c>
      <c r="BJ99" s="346">
        <v>680.26599999999996</v>
      </c>
      <c r="BK99" s="346">
        <v>0</v>
      </c>
      <c r="BL99" s="343">
        <v>0</v>
      </c>
      <c r="BM99" s="343">
        <v>45.31</v>
      </c>
      <c r="BN99" s="346">
        <v>634.95600000000002</v>
      </c>
      <c r="BP99" s="346">
        <v>1321.0298</v>
      </c>
      <c r="BQ99" s="318">
        <v>1620.08878</v>
      </c>
      <c r="BR99" s="278">
        <v>-8.0098500000000001</v>
      </c>
      <c r="BS99" s="475">
        <v>-279.59962000000002</v>
      </c>
      <c r="BT99" s="278">
        <v>4</v>
      </c>
      <c r="BU99" s="278">
        <v>8.9749999999999996</v>
      </c>
      <c r="BV99" s="345">
        <v>283.74581000000001</v>
      </c>
      <c r="BX99" s="278">
        <v>19853.923999999999</v>
      </c>
      <c r="BY99" s="483">
        <v>63</v>
      </c>
      <c r="BZ99" s="483">
        <v>-543.19799999999998</v>
      </c>
      <c r="CA99" s="260"/>
      <c r="CB99" s="347">
        <v>9.8000000000000007</v>
      </c>
      <c r="CC99" s="486">
        <f t="shared" si="1"/>
        <v>9.8000000000000007</v>
      </c>
      <c r="CD99" s="287"/>
      <c r="CE99" s="278"/>
      <c r="CF99" s="268"/>
      <c r="CI99" s="158">
        <v>0</v>
      </c>
      <c r="CJ99" s="343">
        <v>2493.6193656886735</v>
      </c>
      <c r="CK99" s="343">
        <v>2721.5866861645081</v>
      </c>
      <c r="CL99" s="343">
        <v>2436.7882535211579</v>
      </c>
      <c r="CM99" s="487">
        <v>2398.1455612026066</v>
      </c>
      <c r="CN99" s="487">
        <v>2671.911336102999</v>
      </c>
      <c r="CO99" s="495">
        <v>-55.134999999999998</v>
      </c>
      <c r="CP99" s="299"/>
      <c r="CQ99" s="489">
        <v>0</v>
      </c>
      <c r="CR99" s="489">
        <v>0</v>
      </c>
    </row>
    <row r="100" spans="1:96" x14ac:dyDescent="0.2">
      <c r="A100" s="154">
        <v>276</v>
      </c>
      <c r="B100" s="156" t="s">
        <v>131</v>
      </c>
      <c r="C100" s="337">
        <v>15157</v>
      </c>
      <c r="D100" s="276">
        <v>20.5</v>
      </c>
      <c r="E100" s="185"/>
      <c r="G100" s="278">
        <v>10919.57332</v>
      </c>
      <c r="H100" s="278">
        <v>94633.073279999997</v>
      </c>
      <c r="I100" s="278"/>
      <c r="J100" s="278">
        <v>54493.459390000004</v>
      </c>
      <c r="K100" s="278">
        <v>4007.6959400000001</v>
      </c>
      <c r="L100" s="278">
        <v>3134.0191500000001</v>
      </c>
      <c r="M100" s="278">
        <v>61635.174479999994</v>
      </c>
      <c r="N100" s="278">
        <v>28059.151000000002</v>
      </c>
      <c r="O100" s="278">
        <v>71.544929999999994</v>
      </c>
      <c r="P100" s="278">
        <v>661.10311000000002</v>
      </c>
      <c r="Q100" s="278">
        <v>318.74071999999995</v>
      </c>
      <c r="R100" s="278">
        <v>3.7703099999999998</v>
      </c>
      <c r="S100" s="278">
        <v>5706.2377500000002</v>
      </c>
      <c r="U100" s="278">
        <v>5689.8493699999999</v>
      </c>
      <c r="V100" s="278">
        <v>0</v>
      </c>
      <c r="W100" s="278">
        <v>0</v>
      </c>
      <c r="X100" s="278">
        <v>16.388380000000002</v>
      </c>
      <c r="Y100" s="278">
        <v>-305.48969</v>
      </c>
      <c r="Z100" s="278">
        <v>0</v>
      </c>
      <c r="AA100" s="278">
        <v>0</v>
      </c>
      <c r="AB100" s="278">
        <v>321.87806999999998</v>
      </c>
      <c r="AD100" s="278">
        <v>17156.36836</v>
      </c>
      <c r="AE100" s="157">
        <v>5237.8063200000006</v>
      </c>
      <c r="AF100" s="184">
        <v>-468.43142999999998</v>
      </c>
      <c r="AG100" s="278">
        <v>-15917.516710000002</v>
      </c>
      <c r="AH100" s="278">
        <v>250.43611999999999</v>
      </c>
      <c r="AI100" s="184">
        <v>752.01205000000004</v>
      </c>
      <c r="AJ100" s="278">
        <v>13007.297839999999</v>
      </c>
      <c r="AL100" s="278">
        <v>62547.612609999996</v>
      </c>
      <c r="AM100" s="184">
        <v>0</v>
      </c>
      <c r="AN100" s="278">
        <v>11040.77126</v>
      </c>
      <c r="AO100" s="355">
        <v>15136</v>
      </c>
      <c r="AP100" s="344">
        <v>7.8600000000000021</v>
      </c>
      <c r="AQ100" s="462"/>
      <c r="AS100" s="469">
        <v>9446.5702700000002</v>
      </c>
      <c r="AT100" s="278">
        <v>52278.111440000001</v>
      </c>
      <c r="AU100" s="464"/>
      <c r="AV100" s="346">
        <v>25983.072079999998</v>
      </c>
      <c r="AW100" s="346">
        <v>2975.77646</v>
      </c>
      <c r="AX100" s="346">
        <v>3527.2430099999997</v>
      </c>
      <c r="AY100" s="346">
        <v>32486.091550000001</v>
      </c>
      <c r="AZ100" s="346">
        <v>18966.597000000002</v>
      </c>
      <c r="BA100" s="278">
        <v>102.28164</v>
      </c>
      <c r="BB100" s="345">
        <v>800.61721999999997</v>
      </c>
      <c r="BC100" s="278">
        <v>311.4051</v>
      </c>
      <c r="BD100" s="278">
        <v>1.7169400000000001</v>
      </c>
      <c r="BE100" s="346">
        <v>8232.4999599999992</v>
      </c>
      <c r="BG100" s="343">
        <v>6957.4292999999998</v>
      </c>
      <c r="BH100" s="343">
        <v>0</v>
      </c>
      <c r="BI100" s="346">
        <v>0</v>
      </c>
      <c r="BJ100" s="346">
        <v>1275.0706599999999</v>
      </c>
      <c r="BK100" s="343">
        <v>184.03085000000002</v>
      </c>
      <c r="BL100" s="346">
        <v>900</v>
      </c>
      <c r="BM100" s="343">
        <v>0</v>
      </c>
      <c r="BN100" s="346">
        <v>191.03980999999999</v>
      </c>
      <c r="BP100" s="346">
        <v>17347.408169999999</v>
      </c>
      <c r="BQ100" s="318">
        <v>7804.9825899999996</v>
      </c>
      <c r="BR100" s="278">
        <v>-427.51736999999997</v>
      </c>
      <c r="BS100" s="475">
        <v>-12542.9076</v>
      </c>
      <c r="BT100" s="278">
        <v>1098.3592200000001</v>
      </c>
      <c r="BU100" s="278">
        <v>441.36676</v>
      </c>
      <c r="BV100" s="345">
        <v>7517.3494600000004</v>
      </c>
      <c r="BX100" s="278">
        <v>63345.807710000008</v>
      </c>
      <c r="BY100" s="483">
        <v>0</v>
      </c>
      <c r="BZ100" s="483">
        <v>798.19510000000002</v>
      </c>
      <c r="CA100" s="260"/>
      <c r="CB100" s="347">
        <v>8.4</v>
      </c>
      <c r="CC100" s="486">
        <f t="shared" si="1"/>
        <v>8.4</v>
      </c>
      <c r="CD100" s="287"/>
      <c r="CE100" s="278"/>
      <c r="CF100" s="268"/>
      <c r="CI100" s="158">
        <v>0</v>
      </c>
      <c r="CJ100" s="343">
        <v>16750.055598006446</v>
      </c>
      <c r="CK100" s="343">
        <v>17520.014004919882</v>
      </c>
      <c r="CL100" s="343">
        <v>17369.819258818035</v>
      </c>
      <c r="CM100" s="487">
        <v>17630.022605636132</v>
      </c>
      <c r="CN100" s="487">
        <v>18251.619980635758</v>
      </c>
      <c r="CO100" s="495">
        <v>-1818.6610000000001</v>
      </c>
      <c r="CP100" s="299"/>
      <c r="CQ100" s="489">
        <v>0</v>
      </c>
      <c r="CR100" s="489">
        <v>0</v>
      </c>
    </row>
    <row r="101" spans="1:96" x14ac:dyDescent="0.2">
      <c r="A101" s="154">
        <v>280</v>
      </c>
      <c r="B101" s="156" t="s">
        <v>132</v>
      </c>
      <c r="C101" s="337">
        <v>2024</v>
      </c>
      <c r="D101" s="276">
        <v>22</v>
      </c>
      <c r="E101" s="185"/>
      <c r="G101" s="278">
        <v>2982.0986899999998</v>
      </c>
      <c r="H101" s="278">
        <v>17227.469679999998</v>
      </c>
      <c r="I101" s="278"/>
      <c r="J101" s="278">
        <v>6236.6483499999995</v>
      </c>
      <c r="K101" s="278">
        <v>911.09198000000004</v>
      </c>
      <c r="L101" s="278">
        <v>809.85092000000009</v>
      </c>
      <c r="M101" s="278">
        <v>7957.5912500000004</v>
      </c>
      <c r="N101" s="278">
        <v>7519.076</v>
      </c>
      <c r="O101" s="278">
        <v>2.7692700000000001</v>
      </c>
      <c r="P101" s="278">
        <v>42.738750000000003</v>
      </c>
      <c r="Q101" s="278">
        <v>12.60042</v>
      </c>
      <c r="R101" s="278">
        <v>0.36180000000000001</v>
      </c>
      <c r="S101" s="278">
        <v>1203.5654</v>
      </c>
      <c r="U101" s="278">
        <v>988.16127000000006</v>
      </c>
      <c r="V101" s="278">
        <v>0</v>
      </c>
      <c r="W101" s="278">
        <v>0</v>
      </c>
      <c r="X101" s="278">
        <v>215.40413000000001</v>
      </c>
      <c r="Y101" s="278">
        <v>263.70994999999999</v>
      </c>
      <c r="Z101" s="278">
        <v>-500</v>
      </c>
      <c r="AA101" s="278">
        <v>0</v>
      </c>
      <c r="AB101" s="278">
        <v>451.69418000000002</v>
      </c>
      <c r="AD101" s="278">
        <v>4999.6989100000001</v>
      </c>
      <c r="AE101" s="157">
        <v>1203.5654</v>
      </c>
      <c r="AF101" s="184">
        <v>0</v>
      </c>
      <c r="AG101" s="278">
        <v>-2142.8344700000002</v>
      </c>
      <c r="AH101" s="278">
        <v>176.441</v>
      </c>
      <c r="AI101" s="184">
        <v>42.95</v>
      </c>
      <c r="AJ101" s="278">
        <v>513.49769000000003</v>
      </c>
      <c r="AL101" s="278">
        <v>5926.7340000000004</v>
      </c>
      <c r="AM101" s="184">
        <v>0</v>
      </c>
      <c r="AN101" s="278">
        <v>-366.26600000000002</v>
      </c>
      <c r="AO101" s="355">
        <v>2015</v>
      </c>
      <c r="AP101" s="344">
        <v>9.36</v>
      </c>
      <c r="AQ101" s="462"/>
      <c r="AS101" s="469">
        <v>3226.3339900000001</v>
      </c>
      <c r="AT101" s="278">
        <v>8686.3408099999997</v>
      </c>
      <c r="AU101" s="464"/>
      <c r="AV101" s="346">
        <v>3150.7506400000002</v>
      </c>
      <c r="AW101" s="346">
        <v>571.32245</v>
      </c>
      <c r="AX101" s="346">
        <v>828.73806999999999</v>
      </c>
      <c r="AY101" s="346">
        <v>4550.8111600000002</v>
      </c>
      <c r="AZ101" s="346">
        <v>2774.3380000000002</v>
      </c>
      <c r="BA101" s="278">
        <v>17.130650000000003</v>
      </c>
      <c r="BB101" s="345">
        <v>130.01409000000001</v>
      </c>
      <c r="BC101" s="278">
        <v>4.9941499999999994</v>
      </c>
      <c r="BD101" s="278">
        <v>0.10837999999999999</v>
      </c>
      <c r="BE101" s="346">
        <v>1757.1446699999999</v>
      </c>
      <c r="BG101" s="343">
        <v>928.87592000000006</v>
      </c>
      <c r="BH101" s="343">
        <v>0</v>
      </c>
      <c r="BI101" s="343">
        <v>0</v>
      </c>
      <c r="BJ101" s="346">
        <v>828.26874999999995</v>
      </c>
      <c r="BK101" s="343">
        <v>-282.05063999999999</v>
      </c>
      <c r="BL101" s="343">
        <v>500</v>
      </c>
      <c r="BM101" s="343">
        <v>0</v>
      </c>
      <c r="BN101" s="346">
        <v>610.31939</v>
      </c>
      <c r="BP101" s="346">
        <v>5610.0182999999997</v>
      </c>
      <c r="BQ101" s="318">
        <v>1758.8895600000001</v>
      </c>
      <c r="BR101" s="278">
        <v>1.7448900000000001</v>
      </c>
      <c r="BS101" s="475">
        <v>-562.36802999999998</v>
      </c>
      <c r="BT101" s="278">
        <v>0</v>
      </c>
      <c r="BU101" s="278">
        <v>-1.73489</v>
      </c>
      <c r="BV101" s="345">
        <v>354.59044</v>
      </c>
      <c r="BX101" s="278">
        <v>5455.0540000000001</v>
      </c>
      <c r="BY101" s="483">
        <v>-2.5588699999999998</v>
      </c>
      <c r="BZ101" s="483">
        <v>-471.68</v>
      </c>
      <c r="CA101" s="260"/>
      <c r="CB101" s="347">
        <v>9.3000000000000007</v>
      </c>
      <c r="CC101" s="486">
        <f t="shared" si="1"/>
        <v>9.3000000000000007</v>
      </c>
      <c r="CD101" s="287"/>
      <c r="CE101" s="278"/>
      <c r="CF101" s="268"/>
      <c r="CI101" s="158">
        <v>0</v>
      </c>
      <c r="CJ101" s="343">
        <v>2857.4463183417361</v>
      </c>
      <c r="CK101" s="343">
        <v>3019.6075845251826</v>
      </c>
      <c r="CL101" s="343">
        <v>3076.7403075733482</v>
      </c>
      <c r="CM101" s="487">
        <v>3048.9337870918107</v>
      </c>
      <c r="CN101" s="487">
        <v>3118.2088197661978</v>
      </c>
      <c r="CO101" s="495">
        <v>-276.66500000000002</v>
      </c>
      <c r="CP101" s="299"/>
      <c r="CQ101" s="489">
        <v>0</v>
      </c>
      <c r="CR101" s="489">
        <v>0</v>
      </c>
    </row>
    <row r="102" spans="1:96" x14ac:dyDescent="0.2">
      <c r="A102" s="154">
        <v>284</v>
      </c>
      <c r="B102" s="156" t="s">
        <v>133</v>
      </c>
      <c r="C102" s="337">
        <v>2227</v>
      </c>
      <c r="D102" s="276">
        <v>20</v>
      </c>
      <c r="E102" s="185"/>
      <c r="G102" s="278">
        <v>4036.8903100000002</v>
      </c>
      <c r="H102" s="278">
        <v>20522.191850000003</v>
      </c>
      <c r="I102" s="278"/>
      <c r="J102" s="278">
        <v>6436.3707699999995</v>
      </c>
      <c r="K102" s="278">
        <v>787.06894999999997</v>
      </c>
      <c r="L102" s="278">
        <v>550.52913999999998</v>
      </c>
      <c r="M102" s="278">
        <v>7773.9688599999999</v>
      </c>
      <c r="N102" s="278">
        <v>9272.9740000000002</v>
      </c>
      <c r="O102" s="278">
        <v>0</v>
      </c>
      <c r="P102" s="278">
        <v>3.9389400000000001</v>
      </c>
      <c r="Q102" s="278">
        <v>23.311340000000001</v>
      </c>
      <c r="R102" s="278">
        <v>1.1731400000000001</v>
      </c>
      <c r="S102" s="278">
        <v>579.84057999999993</v>
      </c>
      <c r="U102" s="278">
        <v>728.41749000000004</v>
      </c>
      <c r="V102" s="278">
        <v>0</v>
      </c>
      <c r="W102" s="278">
        <v>0</v>
      </c>
      <c r="X102" s="278">
        <v>-148.57691</v>
      </c>
      <c r="Y102" s="278">
        <v>-45.280639999999998</v>
      </c>
      <c r="Z102" s="278">
        <v>0</v>
      </c>
      <c r="AA102" s="278">
        <v>0</v>
      </c>
      <c r="AB102" s="278">
        <v>-103.29627000000001</v>
      </c>
      <c r="AD102" s="278">
        <v>4976.8473300000005</v>
      </c>
      <c r="AE102" s="157">
        <v>426.55988000000002</v>
      </c>
      <c r="AF102" s="184">
        <v>-17.5</v>
      </c>
      <c r="AG102" s="278">
        <v>-458.40794</v>
      </c>
      <c r="AH102" s="278">
        <v>0</v>
      </c>
      <c r="AI102" s="184">
        <v>17.5</v>
      </c>
      <c r="AJ102" s="278">
        <v>4550.9389099999999</v>
      </c>
      <c r="AL102" s="278">
        <v>300.00000000000091</v>
      </c>
      <c r="AM102" s="184">
        <v>0</v>
      </c>
      <c r="AN102" s="278">
        <v>-100</v>
      </c>
      <c r="AO102" s="355">
        <v>2207</v>
      </c>
      <c r="AP102" s="344">
        <v>7.3599999999999994</v>
      </c>
      <c r="AQ102" s="462"/>
      <c r="AS102" s="469">
        <v>4441.72721</v>
      </c>
      <c r="AT102" s="278">
        <v>9086.6368299999995</v>
      </c>
      <c r="AU102" s="464"/>
      <c r="AV102" s="346">
        <v>3296.7439300000001</v>
      </c>
      <c r="AW102" s="346">
        <v>949.98969</v>
      </c>
      <c r="AX102" s="346">
        <v>553.21071999999992</v>
      </c>
      <c r="AY102" s="346">
        <v>4799.94434</v>
      </c>
      <c r="AZ102" s="346">
        <v>4333.4620000000004</v>
      </c>
      <c r="BA102" s="278">
        <v>1.2698</v>
      </c>
      <c r="BB102" s="345">
        <v>9.4263899999999996</v>
      </c>
      <c r="BC102" s="278">
        <v>11.83061</v>
      </c>
      <c r="BD102" s="278">
        <v>0.94162000000000001</v>
      </c>
      <c r="BE102" s="346">
        <v>4491.22912</v>
      </c>
      <c r="BG102" s="343">
        <v>690.98546999999996</v>
      </c>
      <c r="BH102" s="343">
        <v>0</v>
      </c>
      <c r="BI102" s="343">
        <v>0</v>
      </c>
      <c r="BJ102" s="346">
        <v>3800.2436499999999</v>
      </c>
      <c r="BK102" s="343">
        <v>-45.280639999999998</v>
      </c>
      <c r="BL102" s="343">
        <v>1200</v>
      </c>
      <c r="BM102" s="343">
        <v>0</v>
      </c>
      <c r="BN102" s="346">
        <v>2645.5242899999998</v>
      </c>
      <c r="BP102" s="346">
        <v>7622.3716199999999</v>
      </c>
      <c r="BQ102" s="318">
        <v>4820.2104500000005</v>
      </c>
      <c r="BR102" s="278">
        <v>-36.531870000000005</v>
      </c>
      <c r="BS102" s="475">
        <v>-540.45054000000005</v>
      </c>
      <c r="BT102" s="278">
        <v>0</v>
      </c>
      <c r="BU102" s="278">
        <v>38.354620000000004</v>
      </c>
      <c r="BV102" s="345">
        <v>7625.1223899999995</v>
      </c>
      <c r="BX102" s="278">
        <v>200</v>
      </c>
      <c r="BY102" s="483">
        <v>0</v>
      </c>
      <c r="BZ102" s="483">
        <v>-100</v>
      </c>
      <c r="CA102" s="260"/>
      <c r="CB102" s="347">
        <v>7.4000000000000012</v>
      </c>
      <c r="CC102" s="486">
        <f t="shared" si="1"/>
        <v>7.4000000000000012</v>
      </c>
      <c r="CD102" s="287"/>
      <c r="CE102" s="278"/>
      <c r="CF102" s="268"/>
      <c r="CI102" s="158">
        <v>0</v>
      </c>
      <c r="CJ102" s="343">
        <v>3590.5902948241978</v>
      </c>
      <c r="CK102" s="343">
        <v>3002.0349555033149</v>
      </c>
      <c r="CL102" s="343">
        <v>2707.9858895065345</v>
      </c>
      <c r="CM102" s="487">
        <v>2656.772959769567</v>
      </c>
      <c r="CN102" s="487">
        <v>2960.6194950040149</v>
      </c>
      <c r="CO102" s="495">
        <v>856.52</v>
      </c>
      <c r="CP102" s="299"/>
      <c r="CQ102" s="489">
        <v>0</v>
      </c>
      <c r="CR102" s="489">
        <v>0</v>
      </c>
    </row>
    <row r="103" spans="1:96" x14ac:dyDescent="0.2">
      <c r="A103" s="154">
        <v>285</v>
      </c>
      <c r="B103" s="156" t="s">
        <v>134</v>
      </c>
      <c r="C103" s="337">
        <v>50617</v>
      </c>
      <c r="D103" s="276">
        <v>22</v>
      </c>
      <c r="E103" s="185"/>
      <c r="G103" s="278">
        <v>73609.621480000002</v>
      </c>
      <c r="H103" s="278">
        <v>441638.14852999995</v>
      </c>
      <c r="I103" s="278"/>
      <c r="J103" s="278">
        <v>209653.7769</v>
      </c>
      <c r="K103" s="278">
        <v>19305.316320000002</v>
      </c>
      <c r="L103" s="278">
        <v>16190.606750000001</v>
      </c>
      <c r="M103" s="278">
        <v>245149.69996999999</v>
      </c>
      <c r="N103" s="278">
        <v>131879.06</v>
      </c>
      <c r="O103" s="278">
        <v>2147.46164</v>
      </c>
      <c r="P103" s="278">
        <v>2919.1576099999997</v>
      </c>
      <c r="Q103" s="278">
        <v>3589.6231499999999</v>
      </c>
      <c r="R103" s="278">
        <v>155.87615</v>
      </c>
      <c r="S103" s="278">
        <v>12936.999159999999</v>
      </c>
      <c r="U103" s="278">
        <v>18966.493979999999</v>
      </c>
      <c r="V103" s="278">
        <v>4.4731899999999998</v>
      </c>
      <c r="W103" s="278">
        <v>1.3406099999999999</v>
      </c>
      <c r="X103" s="278">
        <v>-6026.3622400000004</v>
      </c>
      <c r="Y103" s="278">
        <v>-1295.5013100000001</v>
      </c>
      <c r="Z103" s="278">
        <v>0</v>
      </c>
      <c r="AA103" s="278">
        <v>0</v>
      </c>
      <c r="AB103" s="278">
        <v>-4730.8609299999998</v>
      </c>
      <c r="AD103" s="278">
        <v>15883.577300000001</v>
      </c>
      <c r="AE103" s="157">
        <v>2841.0594599999999</v>
      </c>
      <c r="AF103" s="184">
        <v>-10099.072330000001</v>
      </c>
      <c r="AG103" s="278">
        <v>-29891.743280000002</v>
      </c>
      <c r="AH103" s="278">
        <v>373.79786000000001</v>
      </c>
      <c r="AI103" s="184">
        <v>6944.0565399999996</v>
      </c>
      <c r="AJ103" s="278">
        <v>3730.2977999999994</v>
      </c>
      <c r="AL103" s="278">
        <v>267622.92103000003</v>
      </c>
      <c r="AM103" s="184">
        <v>-24.553709999999999</v>
      </c>
      <c r="AN103" s="278">
        <v>6495.0576200000005</v>
      </c>
      <c r="AO103" s="355">
        <v>50500</v>
      </c>
      <c r="AP103" s="344">
        <v>9.36</v>
      </c>
      <c r="AQ103" s="462"/>
      <c r="AS103" s="469">
        <v>53922.133150000001</v>
      </c>
      <c r="AT103" s="278">
        <v>176616.88621</v>
      </c>
      <c r="AU103" s="464"/>
      <c r="AV103" s="346">
        <v>112256.9572</v>
      </c>
      <c r="AW103" s="346">
        <v>12290.4861</v>
      </c>
      <c r="AX103" s="346">
        <v>17090.800600000002</v>
      </c>
      <c r="AY103" s="346">
        <v>141638.2439</v>
      </c>
      <c r="AZ103" s="346">
        <v>22730.419000000002</v>
      </c>
      <c r="BA103" s="278">
        <v>2799.91138</v>
      </c>
      <c r="BB103" s="345">
        <v>5144.4760700000006</v>
      </c>
      <c r="BC103" s="278">
        <v>4212.52538</v>
      </c>
      <c r="BD103" s="278">
        <v>34.799810000000001</v>
      </c>
      <c r="BE103" s="346">
        <v>44480.021280000001</v>
      </c>
      <c r="BG103" s="343">
        <v>16363.492410000001</v>
      </c>
      <c r="BH103" s="346">
        <v>0</v>
      </c>
      <c r="BI103" s="346">
        <v>0</v>
      </c>
      <c r="BJ103" s="346">
        <v>28116.528870000002</v>
      </c>
      <c r="BK103" s="346">
        <v>-113.26439999999999</v>
      </c>
      <c r="BL103" s="343">
        <v>0</v>
      </c>
      <c r="BM103" s="343">
        <v>0</v>
      </c>
      <c r="BN103" s="346">
        <v>28229.793269999998</v>
      </c>
      <c r="BP103" s="346">
        <v>44113.370580000003</v>
      </c>
      <c r="BQ103" s="318">
        <v>44474.233590000003</v>
      </c>
      <c r="BR103" s="278">
        <v>-5.7877000000000001</v>
      </c>
      <c r="BS103" s="475">
        <v>-28317.477289999999</v>
      </c>
      <c r="BT103" s="278">
        <v>786.9</v>
      </c>
      <c r="BU103" s="278">
        <v>396.7525</v>
      </c>
      <c r="BV103" s="345">
        <v>12466.745699999999</v>
      </c>
      <c r="BX103" s="278">
        <v>305870.6813</v>
      </c>
      <c r="BY103" s="483">
        <v>-155.12</v>
      </c>
      <c r="BZ103" s="483">
        <v>38247.760299999994</v>
      </c>
      <c r="CA103" s="260"/>
      <c r="CB103" s="347">
        <v>9.4</v>
      </c>
      <c r="CC103" s="486">
        <f t="shared" si="1"/>
        <v>9.4</v>
      </c>
      <c r="CD103" s="287"/>
      <c r="CE103" s="278"/>
      <c r="CF103" s="268"/>
      <c r="CI103" s="158">
        <v>0</v>
      </c>
      <c r="CJ103" s="343">
        <v>5110.6094726641159</v>
      </c>
      <c r="CK103" s="343">
        <v>12439.44299722008</v>
      </c>
      <c r="CL103" s="343">
        <v>16346.163932731202</v>
      </c>
      <c r="CM103" s="487">
        <v>16857.534375807645</v>
      </c>
      <c r="CN103" s="487">
        <v>20880.940251694214</v>
      </c>
      <c r="CO103" s="495">
        <v>-969.07899999999995</v>
      </c>
      <c r="CP103" s="299"/>
      <c r="CQ103" s="489">
        <v>1274.7152100000001</v>
      </c>
      <c r="CR103" s="489">
        <v>972.95056000000011</v>
      </c>
    </row>
    <row r="104" spans="1:96" x14ac:dyDescent="0.2">
      <c r="A104" s="154">
        <v>286</v>
      </c>
      <c r="B104" s="156" t="s">
        <v>135</v>
      </c>
      <c r="C104" s="337">
        <v>79429</v>
      </c>
      <c r="D104" s="276">
        <v>21.25</v>
      </c>
      <c r="E104" s="185"/>
      <c r="G104" s="278">
        <v>51454.938969999996</v>
      </c>
      <c r="H104" s="278">
        <v>617074.69166999997</v>
      </c>
      <c r="I104" s="278"/>
      <c r="J104" s="278">
        <v>314412.51691000001</v>
      </c>
      <c r="K104" s="278">
        <v>36546.46602</v>
      </c>
      <c r="L104" s="278">
        <v>30015.5481</v>
      </c>
      <c r="M104" s="278">
        <v>380974.53102999995</v>
      </c>
      <c r="N104" s="278">
        <v>179179.326</v>
      </c>
      <c r="O104" s="278">
        <v>2094.3338600000002</v>
      </c>
      <c r="P104" s="278">
        <v>2322.2465299999999</v>
      </c>
      <c r="Q104" s="278">
        <v>11063.32194</v>
      </c>
      <c r="R104" s="278">
        <v>1759.70857</v>
      </c>
      <c r="S104" s="278">
        <v>5107.5355199999995</v>
      </c>
      <c r="U104" s="278">
        <v>25181.482540000001</v>
      </c>
      <c r="V104" s="278">
        <v>0</v>
      </c>
      <c r="W104" s="278">
        <v>0</v>
      </c>
      <c r="X104" s="278">
        <v>-20073.94702</v>
      </c>
      <c r="Y104" s="278">
        <v>-71.450969999999998</v>
      </c>
      <c r="Z104" s="278">
        <v>0</v>
      </c>
      <c r="AA104" s="278">
        <v>0</v>
      </c>
      <c r="AB104" s="278">
        <v>-20002.496050000002</v>
      </c>
      <c r="AD104" s="278">
        <v>-454.81612000000104</v>
      </c>
      <c r="AE104" s="157">
        <v>-7957.3223099999996</v>
      </c>
      <c r="AF104" s="184">
        <v>-13064.857830000001</v>
      </c>
      <c r="AG104" s="278">
        <v>-35016.833020000005</v>
      </c>
      <c r="AH104" s="278">
        <v>2342.2277000000004</v>
      </c>
      <c r="AI104" s="184">
        <v>6076.1309800000008</v>
      </c>
      <c r="AJ104" s="278">
        <v>30505.611760000003</v>
      </c>
      <c r="AL104" s="278">
        <v>349539.27743999998</v>
      </c>
      <c r="AM104" s="184">
        <v>-50125.627560000001</v>
      </c>
      <c r="AN104" s="278">
        <v>92455.520199999999</v>
      </c>
      <c r="AO104" s="355">
        <v>78880</v>
      </c>
      <c r="AP104" s="344">
        <v>8.61</v>
      </c>
      <c r="AQ104" s="462"/>
      <c r="AS104" s="469">
        <v>47534.150379999999</v>
      </c>
      <c r="AT104" s="278">
        <v>236106.12797999999</v>
      </c>
      <c r="AU104" s="464"/>
      <c r="AV104" s="346">
        <v>157373.69300999999</v>
      </c>
      <c r="AW104" s="346">
        <v>24935.052019999999</v>
      </c>
      <c r="AX104" s="346">
        <v>30264.747489999998</v>
      </c>
      <c r="AY104" s="346">
        <v>212573.49252</v>
      </c>
      <c r="AZ104" s="346">
        <v>18139.673999999999</v>
      </c>
      <c r="BA104" s="278">
        <v>3523.2737700000002</v>
      </c>
      <c r="BB104" s="345">
        <v>7591.1885300000004</v>
      </c>
      <c r="BC104" s="278">
        <v>8308.6581200000001</v>
      </c>
      <c r="BD104" s="278">
        <v>584.11292000000003</v>
      </c>
      <c r="BE104" s="346">
        <v>47567.102070000001</v>
      </c>
      <c r="BG104" s="343">
        <v>27867.078839999998</v>
      </c>
      <c r="BH104" s="343">
        <v>0</v>
      </c>
      <c r="BI104" s="343">
        <v>0</v>
      </c>
      <c r="BJ104" s="346">
        <v>19700.023229999999</v>
      </c>
      <c r="BK104" s="346">
        <v>-71.450940000000003</v>
      </c>
      <c r="BL104" s="346">
        <v>0</v>
      </c>
      <c r="BM104" s="343">
        <v>0</v>
      </c>
      <c r="BN104" s="346">
        <v>19771.474170000001</v>
      </c>
      <c r="BP104" s="346">
        <v>19316.658050000002</v>
      </c>
      <c r="BQ104" s="318">
        <v>45553.62444</v>
      </c>
      <c r="BR104" s="278">
        <v>-2013.4776299999999</v>
      </c>
      <c r="BS104" s="475">
        <v>-30611.894260000001</v>
      </c>
      <c r="BT104" s="278">
        <v>462.22090999999995</v>
      </c>
      <c r="BU104" s="278">
        <v>2697.7177200000001</v>
      </c>
      <c r="BV104" s="345">
        <v>31491.213929999998</v>
      </c>
      <c r="BX104" s="278">
        <v>299092.98868999997</v>
      </c>
      <c r="BY104" s="483">
        <v>51924.827740000001</v>
      </c>
      <c r="BZ104" s="483">
        <v>-50446.28875</v>
      </c>
      <c r="CA104" s="260"/>
      <c r="CB104" s="347">
        <v>8.9</v>
      </c>
      <c r="CC104" s="486">
        <f t="shared" si="1"/>
        <v>8.9</v>
      </c>
      <c r="CD104" s="287"/>
      <c r="CE104" s="278"/>
      <c r="CF104" s="268"/>
      <c r="CI104" s="158">
        <v>0</v>
      </c>
      <c r="CJ104" s="343">
        <v>-5276.225115224508</v>
      </c>
      <c r="CK104" s="343">
        <v>41.567198630745224</v>
      </c>
      <c r="CL104" s="343">
        <v>4034.8300979645683</v>
      </c>
      <c r="CM104" s="487">
        <v>5782.6772673166452</v>
      </c>
      <c r="CN104" s="487">
        <v>12656.371659364395</v>
      </c>
      <c r="CO104" s="495">
        <v>-7686.2489999999998</v>
      </c>
      <c r="CP104" s="299"/>
      <c r="CQ104" s="489">
        <v>1497.7304899999999</v>
      </c>
      <c r="CR104" s="489">
        <v>1769.28271</v>
      </c>
    </row>
    <row r="105" spans="1:96" x14ac:dyDescent="0.2">
      <c r="A105" s="154">
        <v>287</v>
      </c>
      <c r="B105" s="268" t="s">
        <v>320</v>
      </c>
      <c r="C105" s="337">
        <v>6242</v>
      </c>
      <c r="D105" s="276">
        <v>21.5</v>
      </c>
      <c r="E105" s="185"/>
      <c r="G105" s="278">
        <v>9313.2161500000002</v>
      </c>
      <c r="H105" s="278">
        <v>57842.082289999998</v>
      </c>
      <c r="I105" s="278"/>
      <c r="J105" s="278">
        <v>22040.453000000001</v>
      </c>
      <c r="K105" s="278">
        <v>2212.49143</v>
      </c>
      <c r="L105" s="278">
        <v>3132.0829100000001</v>
      </c>
      <c r="M105" s="278">
        <v>27385.027340000001</v>
      </c>
      <c r="N105" s="278">
        <v>23560.598000000002</v>
      </c>
      <c r="O105" s="278">
        <v>0</v>
      </c>
      <c r="P105" s="278">
        <v>250.16307</v>
      </c>
      <c r="Q105" s="278">
        <v>65.429519999999997</v>
      </c>
      <c r="R105" s="278">
        <v>91.263390000000001</v>
      </c>
      <c r="S105" s="278">
        <v>2140.76226</v>
      </c>
      <c r="U105" s="278">
        <v>2899.4603099999999</v>
      </c>
      <c r="V105" s="278">
        <v>0</v>
      </c>
      <c r="W105" s="278">
        <v>0</v>
      </c>
      <c r="X105" s="278">
        <v>-758.69805000000008</v>
      </c>
      <c r="Y105" s="278">
        <v>0</v>
      </c>
      <c r="Z105" s="278">
        <v>0</v>
      </c>
      <c r="AA105" s="278">
        <v>0</v>
      </c>
      <c r="AB105" s="278">
        <v>-758.69805000000008</v>
      </c>
      <c r="AD105" s="278">
        <v>7358.4504000000006</v>
      </c>
      <c r="AE105" s="157">
        <v>1821.84763</v>
      </c>
      <c r="AF105" s="184">
        <v>-318.91462000000001</v>
      </c>
      <c r="AG105" s="278">
        <v>-4776.7489000000005</v>
      </c>
      <c r="AH105" s="278">
        <v>484.15960999999999</v>
      </c>
      <c r="AI105" s="184">
        <v>256.64299999999997</v>
      </c>
      <c r="AJ105" s="278">
        <v>8513.2159200000006</v>
      </c>
      <c r="AL105" s="278">
        <v>32624.673000000003</v>
      </c>
      <c r="AM105" s="184">
        <v>0</v>
      </c>
      <c r="AN105" s="278">
        <v>1776.2711999999999</v>
      </c>
      <c r="AO105" s="355">
        <v>6199</v>
      </c>
      <c r="AP105" s="344">
        <v>8.8599999999999977</v>
      </c>
      <c r="AQ105" s="462"/>
      <c r="AS105" s="469">
        <v>8330.4032200000001</v>
      </c>
      <c r="AT105" s="278">
        <v>27053.517620000002</v>
      </c>
      <c r="AU105" s="464"/>
      <c r="AV105" s="346">
        <v>11086.743199999999</v>
      </c>
      <c r="AW105" s="346">
        <v>1376.2130300000001</v>
      </c>
      <c r="AX105" s="346">
        <v>3191.22775</v>
      </c>
      <c r="AY105" s="346">
        <v>15654.18398</v>
      </c>
      <c r="AZ105" s="346">
        <v>8693.0769999999993</v>
      </c>
      <c r="BA105" s="278">
        <v>2.1906099999999999</v>
      </c>
      <c r="BB105" s="345">
        <v>285.35629999999998</v>
      </c>
      <c r="BC105" s="278">
        <v>90.312339999999992</v>
      </c>
      <c r="BD105" s="278">
        <v>92.883610000000004</v>
      </c>
      <c r="BE105" s="346">
        <v>5338.4096200000004</v>
      </c>
      <c r="BG105" s="343">
        <v>3507.78361</v>
      </c>
      <c r="BH105" s="343">
        <v>0</v>
      </c>
      <c r="BI105" s="343">
        <v>0</v>
      </c>
      <c r="BJ105" s="346">
        <v>1830.62601</v>
      </c>
      <c r="BK105" s="346">
        <v>0</v>
      </c>
      <c r="BL105" s="343">
        <v>0</v>
      </c>
      <c r="BM105" s="346">
        <v>0</v>
      </c>
      <c r="BN105" s="346">
        <v>1830.62601</v>
      </c>
      <c r="BP105" s="346">
        <v>9189.0764100000015</v>
      </c>
      <c r="BQ105" s="318">
        <v>4175.9955499999996</v>
      </c>
      <c r="BR105" s="278">
        <v>-1162.41407</v>
      </c>
      <c r="BS105" s="475">
        <v>-4895.0557800000006</v>
      </c>
      <c r="BT105" s="278">
        <v>995.20952</v>
      </c>
      <c r="BU105" s="278">
        <v>75.085999999999999</v>
      </c>
      <c r="BV105" s="345">
        <v>2186.9433300000001</v>
      </c>
      <c r="BX105" s="278">
        <v>28902.458070000001</v>
      </c>
      <c r="BY105" s="483">
        <v>0</v>
      </c>
      <c r="BZ105" s="483">
        <v>-3722.2149300000001</v>
      </c>
      <c r="CA105" s="260"/>
      <c r="CB105" s="347">
        <v>8.9</v>
      </c>
      <c r="CC105" s="486">
        <f t="shared" si="1"/>
        <v>8.9</v>
      </c>
      <c r="CD105" s="287"/>
      <c r="CE105" s="278"/>
      <c r="CF105" s="268"/>
      <c r="CI105" s="158">
        <v>0</v>
      </c>
      <c r="CJ105" s="343">
        <v>8606.5990746369298</v>
      </c>
      <c r="CK105" s="343">
        <v>9002.9205202581834</v>
      </c>
      <c r="CL105" s="343">
        <v>9325.0771022121662</v>
      </c>
      <c r="CM105" s="487">
        <v>9341.4814063934718</v>
      </c>
      <c r="CN105" s="487">
        <v>10102.642142456807</v>
      </c>
      <c r="CO105" s="495">
        <v>1575.808</v>
      </c>
      <c r="CP105" s="299"/>
      <c r="CQ105" s="489">
        <v>0</v>
      </c>
      <c r="CR105" s="489">
        <v>0</v>
      </c>
    </row>
    <row r="106" spans="1:96" x14ac:dyDescent="0.2">
      <c r="A106" s="154">
        <v>288</v>
      </c>
      <c r="B106" s="156" t="s">
        <v>136</v>
      </c>
      <c r="C106" s="337">
        <v>6405</v>
      </c>
      <c r="D106" s="276">
        <v>21.999999999999996</v>
      </c>
      <c r="E106" s="185"/>
      <c r="G106" s="278">
        <v>2817.44353</v>
      </c>
      <c r="H106" s="278">
        <v>44457.372049999998</v>
      </c>
      <c r="I106" s="278"/>
      <c r="J106" s="278">
        <v>21718.980920000002</v>
      </c>
      <c r="K106" s="278">
        <v>3461.41059</v>
      </c>
      <c r="L106" s="278">
        <v>1835.5045700000001</v>
      </c>
      <c r="M106" s="278">
        <v>27015.896079999999</v>
      </c>
      <c r="N106" s="278">
        <v>19539.308000000001</v>
      </c>
      <c r="O106" s="278">
        <v>0.23915</v>
      </c>
      <c r="P106" s="278">
        <v>190.70223000000001</v>
      </c>
      <c r="Q106" s="278">
        <v>32.590910000000001</v>
      </c>
      <c r="R106" s="278">
        <v>2.4040500000000002</v>
      </c>
      <c r="S106" s="278">
        <v>4757.2330099999999</v>
      </c>
      <c r="U106" s="278">
        <v>1548.6134199999999</v>
      </c>
      <c r="V106" s="278">
        <v>0</v>
      </c>
      <c r="W106" s="278">
        <v>0</v>
      </c>
      <c r="X106" s="278">
        <v>3208.6195899999998</v>
      </c>
      <c r="Y106" s="278">
        <v>0</v>
      </c>
      <c r="Z106" s="278">
        <v>0</v>
      </c>
      <c r="AA106" s="278">
        <v>0</v>
      </c>
      <c r="AB106" s="278">
        <v>3208.6195899999998</v>
      </c>
      <c r="AD106" s="278">
        <v>15825.093999999999</v>
      </c>
      <c r="AE106" s="157">
        <v>4715.5346900000004</v>
      </c>
      <c r="AF106" s="184">
        <v>-41.698320000000002</v>
      </c>
      <c r="AG106" s="278">
        <v>-910.02906000000007</v>
      </c>
      <c r="AH106" s="278">
        <v>0</v>
      </c>
      <c r="AI106" s="184">
        <v>102.49661</v>
      </c>
      <c r="AJ106" s="278">
        <v>2147.8569300000004</v>
      </c>
      <c r="AL106" s="278">
        <v>22065.8305</v>
      </c>
      <c r="AM106" s="184">
        <v>0</v>
      </c>
      <c r="AN106" s="278">
        <v>-2826.77421</v>
      </c>
      <c r="AO106" s="355">
        <v>6368</v>
      </c>
      <c r="AP106" s="344">
        <v>9.36</v>
      </c>
      <c r="AQ106" s="462"/>
      <c r="AS106" s="469">
        <v>3297.22217</v>
      </c>
      <c r="AT106" s="278">
        <v>20775.518379999998</v>
      </c>
      <c r="AU106" s="464"/>
      <c r="AV106" s="346">
        <v>11684.011349999999</v>
      </c>
      <c r="AW106" s="346">
        <v>2122.91995</v>
      </c>
      <c r="AX106" s="346">
        <v>1837.9405800000002</v>
      </c>
      <c r="AY106" s="346">
        <v>15644.871880000001</v>
      </c>
      <c r="AZ106" s="346">
        <v>6673.3450000000003</v>
      </c>
      <c r="BA106" s="278">
        <v>25.960429999999999</v>
      </c>
      <c r="BB106" s="345">
        <v>201.74589</v>
      </c>
      <c r="BC106" s="278">
        <v>235.12002999999999</v>
      </c>
      <c r="BD106" s="278">
        <v>2.6070199999999999</v>
      </c>
      <c r="BE106" s="346">
        <v>4896.64822</v>
      </c>
      <c r="BG106" s="343">
        <v>1501.5879600000001</v>
      </c>
      <c r="BH106" s="343">
        <v>0</v>
      </c>
      <c r="BI106" s="343">
        <v>0</v>
      </c>
      <c r="BJ106" s="346">
        <v>3395.0602599999997</v>
      </c>
      <c r="BK106" s="343">
        <v>0</v>
      </c>
      <c r="BL106" s="343">
        <v>0</v>
      </c>
      <c r="BM106" s="343">
        <v>0</v>
      </c>
      <c r="BN106" s="346">
        <v>3395.0602599999997</v>
      </c>
      <c r="BP106" s="346">
        <v>19220.154259999999</v>
      </c>
      <c r="BQ106" s="318">
        <v>4879.482</v>
      </c>
      <c r="BR106" s="278">
        <v>-17.166</v>
      </c>
      <c r="BS106" s="475">
        <v>-2026.329</v>
      </c>
      <c r="BT106" s="278">
        <v>52.872999999999998</v>
      </c>
      <c r="BU106" s="278">
        <v>22.43</v>
      </c>
      <c r="BV106" s="345">
        <v>2756.3919999999998</v>
      </c>
      <c r="BX106" s="278">
        <v>17975.895499999999</v>
      </c>
      <c r="BY106" s="483">
        <v>0</v>
      </c>
      <c r="BZ106" s="483">
        <v>-4089.9349999999999</v>
      </c>
      <c r="CA106" s="260"/>
      <c r="CB106" s="347">
        <v>8.9</v>
      </c>
      <c r="CC106" s="486">
        <f t="shared" si="1"/>
        <v>8.9</v>
      </c>
      <c r="CD106" s="287"/>
      <c r="CE106" s="278"/>
      <c r="CF106" s="268"/>
      <c r="CI106" s="158">
        <v>0</v>
      </c>
      <c r="CJ106" s="343">
        <v>7501.2124914237365</v>
      </c>
      <c r="CK106" s="343">
        <v>8021.0055160806369</v>
      </c>
      <c r="CL106" s="343">
        <v>7698.4894337006344</v>
      </c>
      <c r="CM106" s="487">
        <v>7866.8428364126958</v>
      </c>
      <c r="CN106" s="487">
        <v>8246.9247869176361</v>
      </c>
      <c r="CO106" s="495">
        <v>133.523</v>
      </c>
      <c r="CP106" s="299"/>
      <c r="CQ106" s="489">
        <v>2.2337099999999999</v>
      </c>
      <c r="CR106" s="489">
        <v>0</v>
      </c>
    </row>
    <row r="107" spans="1:96" x14ac:dyDescent="0.2">
      <c r="A107" s="154">
        <v>290</v>
      </c>
      <c r="B107" s="156" t="s">
        <v>137</v>
      </c>
      <c r="C107" s="337">
        <v>7755</v>
      </c>
      <c r="D107" s="276">
        <v>22</v>
      </c>
      <c r="E107" s="185"/>
      <c r="G107" s="278">
        <v>5367.25432</v>
      </c>
      <c r="H107" s="278">
        <v>69578.337379999997</v>
      </c>
      <c r="I107" s="278"/>
      <c r="J107" s="278">
        <v>24703.008409999999</v>
      </c>
      <c r="K107" s="278">
        <v>5051.3527999999997</v>
      </c>
      <c r="L107" s="278">
        <v>2309.7957700000002</v>
      </c>
      <c r="M107" s="278">
        <v>32064.15698</v>
      </c>
      <c r="N107" s="278">
        <v>36177.381249999999</v>
      </c>
      <c r="O107" s="278">
        <v>55.827080000000002</v>
      </c>
      <c r="P107" s="278">
        <v>197.67701</v>
      </c>
      <c r="Q107" s="278">
        <v>1604.4896200000001</v>
      </c>
      <c r="R107" s="278">
        <v>1646.5475700000002</v>
      </c>
      <c r="S107" s="278">
        <v>4066.70678</v>
      </c>
      <c r="U107" s="278">
        <v>2464.8788999999997</v>
      </c>
      <c r="V107" s="278">
        <v>456.17500000000001</v>
      </c>
      <c r="W107" s="278">
        <v>0</v>
      </c>
      <c r="X107" s="278">
        <v>2058.00288</v>
      </c>
      <c r="Y107" s="278">
        <v>-42.448140000000002</v>
      </c>
      <c r="Z107" s="278">
        <v>0</v>
      </c>
      <c r="AA107" s="278">
        <v>0</v>
      </c>
      <c r="AB107" s="278">
        <v>2100.45102</v>
      </c>
      <c r="AD107" s="278">
        <v>5169.0904099999998</v>
      </c>
      <c r="AE107" s="157">
        <v>4522.8817800000006</v>
      </c>
      <c r="AF107" s="184">
        <v>0</v>
      </c>
      <c r="AG107" s="278">
        <v>-2302.3891200000003</v>
      </c>
      <c r="AH107" s="278">
        <v>0</v>
      </c>
      <c r="AI107" s="184">
        <v>56.2</v>
      </c>
      <c r="AJ107" s="278">
        <v>29540.06954</v>
      </c>
      <c r="AL107" s="278">
        <v>41605.002</v>
      </c>
      <c r="AM107" s="184">
        <v>0</v>
      </c>
      <c r="AN107" s="278">
        <v>4417.3339999999998</v>
      </c>
      <c r="AO107" s="355">
        <v>7582</v>
      </c>
      <c r="AP107" s="344">
        <v>9.36</v>
      </c>
      <c r="AQ107" s="462"/>
      <c r="AS107" s="469">
        <v>5924.3514000000005</v>
      </c>
      <c r="AT107" s="278">
        <v>28172.874210000002</v>
      </c>
      <c r="AU107" s="464"/>
      <c r="AV107" s="346">
        <v>12695.476070000001</v>
      </c>
      <c r="AW107" s="346">
        <v>3455.1750000000002</v>
      </c>
      <c r="AX107" s="346">
        <v>2307.0356099999999</v>
      </c>
      <c r="AY107" s="346">
        <v>18457.686679999999</v>
      </c>
      <c r="AZ107" s="346">
        <v>7323.3530000000001</v>
      </c>
      <c r="BA107" s="278">
        <v>122.85378999999999</v>
      </c>
      <c r="BB107" s="345">
        <v>610.57393000000002</v>
      </c>
      <c r="BC107" s="278">
        <v>2130.7408300000002</v>
      </c>
      <c r="BD107" s="278">
        <v>562.4769</v>
      </c>
      <c r="BE107" s="346">
        <v>4768.1253200000001</v>
      </c>
      <c r="BG107" s="343">
        <v>3319.6509599999999</v>
      </c>
      <c r="BH107" s="343">
        <v>0</v>
      </c>
      <c r="BI107" s="343">
        <v>0</v>
      </c>
      <c r="BJ107" s="346">
        <v>1448.4743600000002</v>
      </c>
      <c r="BK107" s="346">
        <v>-42.448140000000002</v>
      </c>
      <c r="BL107" s="346">
        <v>0</v>
      </c>
      <c r="BM107" s="343">
        <v>0</v>
      </c>
      <c r="BN107" s="346">
        <v>1490.9224999999999</v>
      </c>
      <c r="BP107" s="346">
        <v>6660.0129099999995</v>
      </c>
      <c r="BQ107" s="318">
        <v>4799.2346500000003</v>
      </c>
      <c r="BR107" s="278">
        <v>31.109330000000003</v>
      </c>
      <c r="BS107" s="475">
        <v>-1665.19858</v>
      </c>
      <c r="BT107" s="278">
        <v>232.08458999999999</v>
      </c>
      <c r="BU107" s="278">
        <v>103.67036</v>
      </c>
      <c r="BV107" s="345">
        <v>26190.851200000001</v>
      </c>
      <c r="BX107" s="278">
        <v>33283.335999999996</v>
      </c>
      <c r="BY107" s="483">
        <v>0</v>
      </c>
      <c r="BZ107" s="483">
        <v>-8321.6659999999993</v>
      </c>
      <c r="CA107" s="260"/>
      <c r="CB107" s="347">
        <v>9.4</v>
      </c>
      <c r="CC107" s="486">
        <f t="shared" si="1"/>
        <v>9.4</v>
      </c>
      <c r="CD107" s="287"/>
      <c r="CE107" s="278"/>
      <c r="CF107" s="268"/>
      <c r="CI107" s="158">
        <v>0</v>
      </c>
      <c r="CJ107" s="343">
        <v>8290.0014262770874</v>
      </c>
      <c r="CK107" s="343">
        <v>8057.755215161229</v>
      </c>
      <c r="CL107" s="343">
        <v>7967.1037095431329</v>
      </c>
      <c r="CM107" s="487">
        <v>7629.4758608521206</v>
      </c>
      <c r="CN107" s="487">
        <v>8760.5503492334265</v>
      </c>
      <c r="CO107" s="495">
        <v>-413.108</v>
      </c>
      <c r="CP107" s="299"/>
      <c r="CQ107" s="489">
        <v>220.15948999999998</v>
      </c>
      <c r="CR107" s="489">
        <v>155.06466</v>
      </c>
    </row>
    <row r="108" spans="1:96" x14ac:dyDescent="0.2">
      <c r="A108" s="154">
        <v>291</v>
      </c>
      <c r="B108" s="156" t="s">
        <v>138</v>
      </c>
      <c r="C108" s="337">
        <v>2119</v>
      </c>
      <c r="D108" s="276">
        <v>21.75</v>
      </c>
      <c r="E108" s="185"/>
      <c r="G108" s="278">
        <v>3318.9508100000003</v>
      </c>
      <c r="H108" s="278">
        <v>21607.573170000003</v>
      </c>
      <c r="I108" s="278"/>
      <c r="J108" s="278">
        <v>6638.0398800000003</v>
      </c>
      <c r="K108" s="278">
        <v>1641.14357</v>
      </c>
      <c r="L108" s="278">
        <v>1614.9967199999999</v>
      </c>
      <c r="M108" s="278">
        <v>9894.1801699999996</v>
      </c>
      <c r="N108" s="278">
        <v>9311.7070000000003</v>
      </c>
      <c r="O108" s="278">
        <v>118.29105</v>
      </c>
      <c r="P108" s="278">
        <v>76.109949999999998</v>
      </c>
      <c r="Q108" s="278">
        <v>12.3401</v>
      </c>
      <c r="R108" s="278">
        <v>27.298269999999999</v>
      </c>
      <c r="S108" s="278">
        <v>944.48774000000003</v>
      </c>
      <c r="U108" s="278">
        <v>1125.46027</v>
      </c>
      <c r="V108" s="278">
        <v>0</v>
      </c>
      <c r="W108" s="278">
        <v>0</v>
      </c>
      <c r="X108" s="278">
        <v>-180.97253000000001</v>
      </c>
      <c r="Y108" s="278">
        <v>0</v>
      </c>
      <c r="Z108" s="278">
        <v>0</v>
      </c>
      <c r="AA108" s="278">
        <v>0</v>
      </c>
      <c r="AB108" s="278">
        <v>-180.97253000000001</v>
      </c>
      <c r="AD108" s="278">
        <v>6337.7533800000001</v>
      </c>
      <c r="AE108" s="157">
        <v>951.32043999999996</v>
      </c>
      <c r="AF108" s="184">
        <v>6.8327</v>
      </c>
      <c r="AG108" s="278">
        <v>-963.89904000000001</v>
      </c>
      <c r="AH108" s="278">
        <v>3.0550000000000002</v>
      </c>
      <c r="AI108" s="184">
        <v>34.943750000000001</v>
      </c>
      <c r="AJ108" s="278">
        <v>2686.4106900000002</v>
      </c>
      <c r="AL108" s="278">
        <v>6277</v>
      </c>
      <c r="AM108" s="184">
        <v>8</v>
      </c>
      <c r="AN108" s="278">
        <v>-47</v>
      </c>
      <c r="AO108" s="355">
        <v>2092</v>
      </c>
      <c r="AP108" s="344">
        <v>9.1100000000000012</v>
      </c>
      <c r="AQ108" s="462"/>
      <c r="AS108" s="469">
        <v>2732.95201</v>
      </c>
      <c r="AT108" s="278">
        <v>9323.4396899999992</v>
      </c>
      <c r="AU108" s="464"/>
      <c r="AV108" s="346">
        <v>3414.0867400000002</v>
      </c>
      <c r="AW108" s="346">
        <v>932.45699999999999</v>
      </c>
      <c r="AX108" s="346">
        <v>1647.6272200000001</v>
      </c>
      <c r="AY108" s="346">
        <v>5994.1709600000004</v>
      </c>
      <c r="AZ108" s="346">
        <v>2161.4996700000002</v>
      </c>
      <c r="BA108" s="278">
        <v>88.020990000000012</v>
      </c>
      <c r="BB108" s="345">
        <v>230.51954000000001</v>
      </c>
      <c r="BC108" s="278">
        <v>17.12567</v>
      </c>
      <c r="BD108" s="278">
        <v>5.4465500000000002</v>
      </c>
      <c r="BE108" s="346">
        <v>1434.3635200000001</v>
      </c>
      <c r="BG108" s="343">
        <v>1197.2974899999999</v>
      </c>
      <c r="BH108" s="346">
        <v>0</v>
      </c>
      <c r="BI108" s="343">
        <v>0</v>
      </c>
      <c r="BJ108" s="346">
        <v>237.06603000000001</v>
      </c>
      <c r="BK108" s="346">
        <v>0</v>
      </c>
      <c r="BL108" s="343">
        <v>0</v>
      </c>
      <c r="BM108" s="343">
        <v>0</v>
      </c>
      <c r="BN108" s="346">
        <v>237.06603000000001</v>
      </c>
      <c r="BP108" s="346">
        <v>6574.8194100000001</v>
      </c>
      <c r="BQ108" s="318">
        <v>1371.3969399999999</v>
      </c>
      <c r="BR108" s="278">
        <v>-62.96658</v>
      </c>
      <c r="BS108" s="475">
        <v>-1060.5511799999999</v>
      </c>
      <c r="BT108" s="278">
        <v>0</v>
      </c>
      <c r="BU108" s="278">
        <v>193.24199999999999</v>
      </c>
      <c r="BV108" s="345">
        <v>4054.42877</v>
      </c>
      <c r="BX108" s="278">
        <v>5230</v>
      </c>
      <c r="BY108" s="483">
        <v>8</v>
      </c>
      <c r="BZ108" s="483">
        <v>-1047</v>
      </c>
      <c r="CA108" s="260"/>
      <c r="CB108" s="347">
        <v>9.1</v>
      </c>
      <c r="CC108" s="486">
        <f t="shared" si="1"/>
        <v>9.1</v>
      </c>
      <c r="CD108" s="287"/>
      <c r="CE108" s="278"/>
      <c r="CF108" s="268"/>
      <c r="CI108" s="158">
        <v>0</v>
      </c>
      <c r="CJ108" s="343">
        <v>2494.6114361342184</v>
      </c>
      <c r="CK108" s="343">
        <v>2745.7625117071175</v>
      </c>
      <c r="CL108" s="343">
        <v>2704.7001321440252</v>
      </c>
      <c r="CM108" s="487">
        <v>2645.2231041720243</v>
      </c>
      <c r="CN108" s="487">
        <v>2915.0290494830642</v>
      </c>
      <c r="CO108" s="495">
        <v>80.850999999999999</v>
      </c>
      <c r="CP108" s="299"/>
      <c r="CQ108" s="489">
        <v>0</v>
      </c>
      <c r="CR108" s="489">
        <v>0</v>
      </c>
    </row>
    <row r="109" spans="1:96" x14ac:dyDescent="0.2">
      <c r="A109" s="271">
        <v>297</v>
      </c>
      <c r="B109" s="268" t="s">
        <v>139</v>
      </c>
      <c r="C109" s="337">
        <v>122594</v>
      </c>
      <c r="D109" s="276">
        <v>20.75</v>
      </c>
      <c r="E109" s="318"/>
      <c r="F109" s="318"/>
      <c r="G109" s="278">
        <v>190248.633</v>
      </c>
      <c r="H109" s="278">
        <v>954076.21464000002</v>
      </c>
      <c r="I109" s="278"/>
      <c r="J109" s="278">
        <v>457508.14083999995</v>
      </c>
      <c r="K109" s="278">
        <v>44337.103560000003</v>
      </c>
      <c r="L109" s="278">
        <v>47705.404630000005</v>
      </c>
      <c r="M109" s="278">
        <v>549550.64902999997</v>
      </c>
      <c r="N109" s="278">
        <v>244656.96100000001</v>
      </c>
      <c r="O109" s="278">
        <v>10888.13068</v>
      </c>
      <c r="P109" s="278">
        <v>3464.7394800000002</v>
      </c>
      <c r="Q109" s="278">
        <v>5768.5693200000005</v>
      </c>
      <c r="R109" s="278">
        <v>55.968839999999993</v>
      </c>
      <c r="S109" s="278">
        <v>44511.682999999997</v>
      </c>
      <c r="T109" s="268"/>
      <c r="U109" s="278">
        <v>48964.567889999998</v>
      </c>
      <c r="V109" s="278">
        <v>0</v>
      </c>
      <c r="W109" s="278">
        <v>0</v>
      </c>
      <c r="X109" s="278">
        <v>-4452.8848899999994</v>
      </c>
      <c r="Y109" s="278">
        <v>-129.06505000000001</v>
      </c>
      <c r="Z109" s="278">
        <v>0</v>
      </c>
      <c r="AA109" s="278">
        <v>0</v>
      </c>
      <c r="AB109" s="278">
        <v>-4323.8198400000001</v>
      </c>
      <c r="AC109" s="268"/>
      <c r="AD109" s="278">
        <v>184384.82491</v>
      </c>
      <c r="AE109" s="318">
        <v>40446.222649999996</v>
      </c>
      <c r="AF109" s="278">
        <v>-4065.4603500000003</v>
      </c>
      <c r="AG109" s="278">
        <v>-105354.682</v>
      </c>
      <c r="AH109" s="278">
        <v>2775.6987799999997</v>
      </c>
      <c r="AI109" s="278">
        <v>11175.310579999999</v>
      </c>
      <c r="AJ109" s="278">
        <v>33619.690820000003</v>
      </c>
      <c r="AK109" s="268"/>
      <c r="AL109" s="278">
        <v>453004.95521999995</v>
      </c>
      <c r="AM109" s="278">
        <v>6481.7989600000001</v>
      </c>
      <c r="AN109" s="278">
        <v>16396.77161</v>
      </c>
      <c r="AO109" s="337">
        <v>124021</v>
      </c>
      <c r="AP109" s="344">
        <v>8.11</v>
      </c>
      <c r="AQ109" s="460"/>
      <c r="AR109" s="460"/>
      <c r="AS109" s="469">
        <v>111524.46097</v>
      </c>
      <c r="AT109" s="278">
        <v>408695.73592000001</v>
      </c>
      <c r="AU109" s="461"/>
      <c r="AV109" s="278">
        <v>227779.40861000001</v>
      </c>
      <c r="AW109" s="278">
        <v>29844.138480000001</v>
      </c>
      <c r="AX109" s="278">
        <v>50445.45968</v>
      </c>
      <c r="AY109" s="278">
        <v>308069.00676999998</v>
      </c>
      <c r="AZ109" s="278">
        <v>40061.415000000001</v>
      </c>
      <c r="BA109" s="278">
        <v>12187.66855</v>
      </c>
      <c r="BB109" s="278">
        <v>9077.8231699999997</v>
      </c>
      <c r="BC109" s="278">
        <v>5996.7671200000004</v>
      </c>
      <c r="BD109" s="278">
        <v>4281.2531200000003</v>
      </c>
      <c r="BE109" s="278">
        <v>56664.556819999998</v>
      </c>
      <c r="BG109" s="278">
        <v>54381.412579999997</v>
      </c>
      <c r="BH109" s="278">
        <v>0</v>
      </c>
      <c r="BI109" s="278">
        <v>0</v>
      </c>
      <c r="BJ109" s="278">
        <v>2283.1442400000001</v>
      </c>
      <c r="BK109" s="278">
        <v>-46.770780000000002</v>
      </c>
      <c r="BL109" s="278">
        <v>0</v>
      </c>
      <c r="BM109" s="278">
        <v>0</v>
      </c>
      <c r="BN109" s="278">
        <v>2329.9150199999999</v>
      </c>
      <c r="BP109" s="278">
        <v>186714.73992999998</v>
      </c>
      <c r="BQ109" s="318">
        <v>59821.596109999999</v>
      </c>
      <c r="BR109" s="278">
        <v>3157.0392900000002</v>
      </c>
      <c r="BS109" s="278">
        <v>-92757.272450000004</v>
      </c>
      <c r="BT109" s="278">
        <v>1863.4724099999999</v>
      </c>
      <c r="BU109" s="278">
        <v>9808.6338300000007</v>
      </c>
      <c r="BV109" s="278">
        <v>94527.16584999999</v>
      </c>
      <c r="BX109" s="278">
        <v>542477.71961000003</v>
      </c>
      <c r="BY109" s="483">
        <v>6481.5995499999999</v>
      </c>
      <c r="BZ109" s="483">
        <v>10356.81561</v>
      </c>
      <c r="CA109" s="327"/>
      <c r="CB109" s="347">
        <v>8.1</v>
      </c>
      <c r="CC109" s="486">
        <f t="shared" si="1"/>
        <v>8.1</v>
      </c>
      <c r="CD109" s="328"/>
      <c r="CE109" s="278"/>
      <c r="CF109" s="268"/>
      <c r="CG109" s="268"/>
      <c r="CH109" s="268"/>
      <c r="CI109" s="268">
        <v>0</v>
      </c>
      <c r="CJ109" s="278">
        <v>33599.012225997278</v>
      </c>
      <c r="CK109" s="278">
        <v>41865.294622404261</v>
      </c>
      <c r="CL109" s="343">
        <v>48911.725728958489</v>
      </c>
      <c r="CM109" s="487">
        <v>52177.316001702435</v>
      </c>
      <c r="CN109" s="487">
        <v>56828.942669301068</v>
      </c>
      <c r="CO109" s="495">
        <v>-250.91900000000001</v>
      </c>
      <c r="CP109" s="299"/>
      <c r="CQ109" s="489">
        <v>995.66293000000007</v>
      </c>
      <c r="CR109" s="489">
        <v>880.05061999999998</v>
      </c>
    </row>
    <row r="110" spans="1:96" ht="12.75" x14ac:dyDescent="0.2">
      <c r="A110" s="154">
        <v>300</v>
      </c>
      <c r="B110" s="156" t="s">
        <v>140</v>
      </c>
      <c r="C110" s="337">
        <v>3437</v>
      </c>
      <c r="D110" s="276">
        <v>20.999999999999996</v>
      </c>
      <c r="E110" s="185"/>
      <c r="G110" s="278">
        <v>4125.4265800000003</v>
      </c>
      <c r="H110" s="278">
        <v>29469.806410000001</v>
      </c>
      <c r="I110" s="278"/>
      <c r="J110" s="278">
        <v>10208.813099999999</v>
      </c>
      <c r="K110" s="278">
        <v>1108.0672199999999</v>
      </c>
      <c r="L110" s="278">
        <v>919.38765999999998</v>
      </c>
      <c r="M110" s="278">
        <v>12236.267980000001</v>
      </c>
      <c r="N110" s="278">
        <v>15955.188</v>
      </c>
      <c r="O110" s="278">
        <v>24.585519999999999</v>
      </c>
      <c r="P110" s="278">
        <v>62.061629999999994</v>
      </c>
      <c r="Q110" s="278">
        <v>101.90094000000001</v>
      </c>
      <c r="R110" s="278">
        <v>0.79134000000000004</v>
      </c>
      <c r="S110" s="278">
        <v>2910.70964</v>
      </c>
      <c r="U110" s="278">
        <v>1164.03224</v>
      </c>
      <c r="V110" s="278">
        <v>0</v>
      </c>
      <c r="W110" s="278">
        <v>0</v>
      </c>
      <c r="X110" s="278">
        <v>1746.6773999999998</v>
      </c>
      <c r="Y110" s="278">
        <v>0</v>
      </c>
      <c r="Z110" s="278">
        <v>0</v>
      </c>
      <c r="AA110" s="278">
        <v>0</v>
      </c>
      <c r="AB110" s="278">
        <v>1746.6773999999998</v>
      </c>
      <c r="AD110" s="278">
        <v>7426.2522499999995</v>
      </c>
      <c r="AE110" s="157">
        <v>2803.70667</v>
      </c>
      <c r="AF110" s="184">
        <v>-107.00297</v>
      </c>
      <c r="AG110" s="278">
        <v>-1988.1358899999998</v>
      </c>
      <c r="AH110" s="278">
        <v>429.012</v>
      </c>
      <c r="AI110" s="184">
        <v>115.97207</v>
      </c>
      <c r="AJ110" s="278">
        <v>2012.4860000000001</v>
      </c>
      <c r="AL110" s="278">
        <v>8822.2620000000006</v>
      </c>
      <c r="AM110" s="184">
        <v>-3.0031599999999998</v>
      </c>
      <c r="AN110" s="278">
        <v>-837.88599999999997</v>
      </c>
      <c r="AO110" s="355">
        <v>3381</v>
      </c>
      <c r="AP110" s="344">
        <v>8.36</v>
      </c>
      <c r="AQ110" s="462"/>
      <c r="AS110" s="469">
        <v>3470.8943300000001</v>
      </c>
      <c r="AT110" s="278">
        <v>14349.004369999999</v>
      </c>
      <c r="AU110" s="464"/>
      <c r="AV110" s="346">
        <v>5192.3928699999997</v>
      </c>
      <c r="AW110" s="346">
        <v>693.37727000000007</v>
      </c>
      <c r="AX110" s="346">
        <v>1014.12722</v>
      </c>
      <c r="AY110" s="346">
        <v>6899.8973599999999</v>
      </c>
      <c r="AZ110" s="346">
        <v>6724.7150000000001</v>
      </c>
      <c r="BA110" s="278">
        <v>53.930959999999999</v>
      </c>
      <c r="BB110" s="472">
        <v>189.74929999999998</v>
      </c>
      <c r="BC110" s="278">
        <v>70.94028999999999</v>
      </c>
      <c r="BD110" s="278">
        <v>77.993259999999992</v>
      </c>
      <c r="BE110" s="346">
        <v>2603.6310099999996</v>
      </c>
      <c r="BG110" s="343">
        <v>1164.0248200000001</v>
      </c>
      <c r="BH110" s="346">
        <v>0</v>
      </c>
      <c r="BI110" s="346">
        <v>257.73750000000001</v>
      </c>
      <c r="BJ110" s="346">
        <v>1181.86869</v>
      </c>
      <c r="BK110" s="346">
        <v>0</v>
      </c>
      <c r="BL110" s="346">
        <v>0</v>
      </c>
      <c r="BM110" s="343">
        <v>0</v>
      </c>
      <c r="BN110" s="346">
        <v>1181.86869</v>
      </c>
      <c r="BP110" s="346">
        <v>8608.1209399999989</v>
      </c>
      <c r="BQ110" s="318">
        <v>2288.7979</v>
      </c>
      <c r="BR110" s="278">
        <v>-57.095610000000001</v>
      </c>
      <c r="BS110" s="475">
        <v>-1937.7775100000001</v>
      </c>
      <c r="BT110" s="278">
        <v>0</v>
      </c>
      <c r="BU110" s="278">
        <v>564.13073999999995</v>
      </c>
      <c r="BV110" s="345">
        <v>1808.72972</v>
      </c>
      <c r="BX110" s="278">
        <v>8303.7781500000001</v>
      </c>
      <c r="BY110" s="483">
        <v>-33.855359999999997</v>
      </c>
      <c r="BZ110" s="483">
        <v>-518.48384999999996</v>
      </c>
      <c r="CA110" s="260"/>
      <c r="CB110" s="347">
        <v>8.4</v>
      </c>
      <c r="CC110" s="486">
        <f t="shared" si="1"/>
        <v>8.4</v>
      </c>
      <c r="CD110" s="287"/>
      <c r="CE110" s="278"/>
      <c r="CF110" s="268"/>
      <c r="CI110" s="158">
        <v>0</v>
      </c>
      <c r="CJ110" s="343">
        <v>6743.3215887850174</v>
      </c>
      <c r="CK110" s="343">
        <v>6397.6491682973665</v>
      </c>
      <c r="CL110" s="343">
        <v>6318.2423283493808</v>
      </c>
      <c r="CM110" s="487">
        <v>6224.7495278853503</v>
      </c>
      <c r="CN110" s="487">
        <v>6612.4676919888507</v>
      </c>
      <c r="CO110" s="495">
        <v>1632.5540000000001</v>
      </c>
      <c r="CP110" s="299"/>
      <c r="CQ110" s="489">
        <v>0</v>
      </c>
      <c r="CR110" s="489">
        <v>0</v>
      </c>
    </row>
    <row r="111" spans="1:96" x14ac:dyDescent="0.2">
      <c r="A111" s="154">
        <v>301</v>
      </c>
      <c r="B111" s="156" t="s">
        <v>141</v>
      </c>
      <c r="C111" s="337">
        <v>19890</v>
      </c>
      <c r="D111" s="276">
        <v>21</v>
      </c>
      <c r="E111" s="185"/>
      <c r="G111" s="278">
        <v>32767.717789999999</v>
      </c>
      <c r="H111" s="278">
        <v>178217.74291999999</v>
      </c>
      <c r="I111" s="278"/>
      <c r="J111" s="278">
        <v>60714.387270000007</v>
      </c>
      <c r="K111" s="278">
        <v>6397.6195700000007</v>
      </c>
      <c r="L111" s="278">
        <v>5103.2806600000004</v>
      </c>
      <c r="M111" s="278">
        <v>72215.287500000006</v>
      </c>
      <c r="N111" s="278">
        <v>72483.67</v>
      </c>
      <c r="O111" s="278">
        <v>703.64593000000002</v>
      </c>
      <c r="P111" s="278">
        <v>605.0524200000001</v>
      </c>
      <c r="Q111" s="278">
        <v>11495.41209</v>
      </c>
      <c r="R111" s="278">
        <v>-3.7491399999999997</v>
      </c>
      <c r="S111" s="278">
        <v>10846.687109999999</v>
      </c>
      <c r="U111" s="278">
        <v>6908.7097000000003</v>
      </c>
      <c r="V111" s="278">
        <v>0</v>
      </c>
      <c r="W111" s="278">
        <v>0</v>
      </c>
      <c r="X111" s="278">
        <v>3937.97741</v>
      </c>
      <c r="Y111" s="278">
        <v>-291.584</v>
      </c>
      <c r="Z111" s="278">
        <v>0</v>
      </c>
      <c r="AA111" s="278">
        <v>0</v>
      </c>
      <c r="AB111" s="278">
        <v>4229.5614100000003</v>
      </c>
      <c r="AD111" s="278">
        <v>12532.69742</v>
      </c>
      <c r="AE111" s="157">
        <v>7623.3364199999996</v>
      </c>
      <c r="AF111" s="184">
        <v>-3223.3506899999998</v>
      </c>
      <c r="AG111" s="278">
        <v>-35904.526989999998</v>
      </c>
      <c r="AH111" s="278">
        <v>238.11261999999999</v>
      </c>
      <c r="AI111" s="184">
        <v>5401.8972300000005</v>
      </c>
      <c r="AJ111" s="278">
        <v>43603.850130000006</v>
      </c>
      <c r="AL111" s="278">
        <v>115307.3961</v>
      </c>
      <c r="AM111" s="184">
        <v>-912.78868</v>
      </c>
      <c r="AN111" s="278">
        <v>33455.667399999998</v>
      </c>
      <c r="AO111" s="355">
        <v>19759</v>
      </c>
      <c r="AP111" s="344">
        <v>8.36</v>
      </c>
      <c r="AQ111" s="462"/>
      <c r="AS111" s="469">
        <v>26644.273239999999</v>
      </c>
      <c r="AT111" s="278">
        <v>79454.244590000002</v>
      </c>
      <c r="AU111" s="464"/>
      <c r="AV111" s="346">
        <v>30891.36318</v>
      </c>
      <c r="AW111" s="346">
        <v>3989.7068199999999</v>
      </c>
      <c r="AX111" s="346">
        <v>5317.4373700000006</v>
      </c>
      <c r="AY111" s="346">
        <v>40198.507369999999</v>
      </c>
      <c r="AZ111" s="346">
        <v>15733.90013</v>
      </c>
      <c r="BA111" s="278">
        <v>1191.0793600000002</v>
      </c>
      <c r="BB111" s="345">
        <v>2411.2771499999999</v>
      </c>
      <c r="BC111" s="278">
        <v>13004.592460000002</v>
      </c>
      <c r="BD111" s="278">
        <v>15.61023</v>
      </c>
      <c r="BE111" s="346">
        <v>14891.220589999999</v>
      </c>
      <c r="BG111" s="343">
        <v>8029.8928099999994</v>
      </c>
      <c r="BH111" s="343">
        <v>0</v>
      </c>
      <c r="BI111" s="343">
        <v>0</v>
      </c>
      <c r="BJ111" s="346">
        <v>6861.3277800000005</v>
      </c>
      <c r="BK111" s="343">
        <v>-268.85929999999996</v>
      </c>
      <c r="BL111" s="343">
        <v>0</v>
      </c>
      <c r="BM111" s="343">
        <v>0</v>
      </c>
      <c r="BN111" s="346">
        <v>7130.1870799999997</v>
      </c>
      <c r="BP111" s="346">
        <v>19662.8845</v>
      </c>
      <c r="BQ111" s="318">
        <v>14420.841829999999</v>
      </c>
      <c r="BR111" s="278">
        <v>-470.37876</v>
      </c>
      <c r="BS111" s="475">
        <v>-23514.432559999997</v>
      </c>
      <c r="BT111" s="278">
        <v>559.04600000000005</v>
      </c>
      <c r="BU111" s="278">
        <v>48.771000000000001</v>
      </c>
      <c r="BV111" s="345">
        <v>43369.751130000004</v>
      </c>
      <c r="BX111" s="278">
        <v>120589.40102</v>
      </c>
      <c r="BY111" s="483">
        <v>356.58145000000002</v>
      </c>
      <c r="BZ111" s="483">
        <v>5282.0049200000003</v>
      </c>
      <c r="CA111" s="260"/>
      <c r="CB111" s="347">
        <v>8.4</v>
      </c>
      <c r="CC111" s="486">
        <f t="shared" si="1"/>
        <v>8.4</v>
      </c>
      <c r="CD111" s="287"/>
      <c r="CE111" s="278"/>
      <c r="CF111" s="268"/>
      <c r="CI111" s="158">
        <v>0</v>
      </c>
      <c r="CJ111" s="343">
        <v>11823.798002056054</v>
      </c>
      <c r="CK111" s="343">
        <v>13158.638105110747</v>
      </c>
      <c r="CL111" s="343">
        <v>13414.95874172233</v>
      </c>
      <c r="CM111" s="487">
        <v>13821.909878827315</v>
      </c>
      <c r="CN111" s="487">
        <v>15809.301391108695</v>
      </c>
      <c r="CO111" s="495">
        <v>-1852.08</v>
      </c>
      <c r="CP111" s="299"/>
      <c r="CQ111" s="489">
        <v>0</v>
      </c>
      <c r="CR111" s="489">
        <v>0</v>
      </c>
    </row>
    <row r="112" spans="1:96" x14ac:dyDescent="0.2">
      <c r="A112" s="154">
        <v>304</v>
      </c>
      <c r="B112" s="156" t="s">
        <v>142</v>
      </c>
      <c r="C112" s="337">
        <v>950</v>
      </c>
      <c r="D112" s="276">
        <v>18</v>
      </c>
      <c r="E112" s="185"/>
      <c r="G112" s="278">
        <v>1827.7856899999999</v>
      </c>
      <c r="H112" s="278">
        <v>9296.8757100000003</v>
      </c>
      <c r="I112" s="278"/>
      <c r="J112" s="278">
        <v>3734.7194900000004</v>
      </c>
      <c r="K112" s="278">
        <v>390.45913000000002</v>
      </c>
      <c r="L112" s="278">
        <v>1529.1179500000001</v>
      </c>
      <c r="M112" s="278">
        <v>5654.2965700000004</v>
      </c>
      <c r="N112" s="278">
        <v>2372.7730000000001</v>
      </c>
      <c r="O112" s="278">
        <v>0</v>
      </c>
      <c r="P112" s="278">
        <v>17.64847</v>
      </c>
      <c r="Q112" s="278">
        <v>9.9922599999999999</v>
      </c>
      <c r="R112" s="278">
        <v>0.21078</v>
      </c>
      <c r="S112" s="278">
        <v>550.11256000000003</v>
      </c>
      <c r="U112" s="278">
        <v>517.34405000000004</v>
      </c>
      <c r="V112" s="278">
        <v>237.48517999999999</v>
      </c>
      <c r="W112" s="278">
        <v>13.5229</v>
      </c>
      <c r="X112" s="278">
        <v>256.73079000000001</v>
      </c>
      <c r="Y112" s="278">
        <v>-32.214509999999997</v>
      </c>
      <c r="Z112" s="278">
        <v>237.48517999999999</v>
      </c>
      <c r="AA112" s="278">
        <v>0</v>
      </c>
      <c r="AB112" s="278">
        <v>51.460120000000003</v>
      </c>
      <c r="AD112" s="278">
        <v>3785.1418699999999</v>
      </c>
      <c r="AE112" s="157">
        <v>536.58965999999998</v>
      </c>
      <c r="AF112" s="184">
        <v>-237.48517999999999</v>
      </c>
      <c r="AG112" s="278">
        <v>-445.74463000000003</v>
      </c>
      <c r="AH112" s="278">
        <v>0</v>
      </c>
      <c r="AI112" s="184">
        <v>0</v>
      </c>
      <c r="AJ112" s="278">
        <v>1374.8958</v>
      </c>
      <c r="AL112" s="278">
        <v>2398.8760000000002</v>
      </c>
      <c r="AM112" s="184">
        <v>0</v>
      </c>
      <c r="AN112" s="278">
        <v>343.30500000000001</v>
      </c>
      <c r="AO112" s="355">
        <v>949</v>
      </c>
      <c r="AP112" s="344">
        <v>5.36</v>
      </c>
      <c r="AQ112" s="462"/>
      <c r="AS112" s="469">
        <v>1471.7193200000002</v>
      </c>
      <c r="AT112" s="278">
        <v>4219.8043399999997</v>
      </c>
      <c r="AU112" s="464"/>
      <c r="AV112" s="346">
        <v>1516.21533</v>
      </c>
      <c r="AW112" s="346">
        <v>250.76729999999998</v>
      </c>
      <c r="AX112" s="346">
        <v>1487.17669</v>
      </c>
      <c r="AY112" s="346">
        <v>3254.1593199999998</v>
      </c>
      <c r="AZ112" s="346">
        <v>-354.49400000000003</v>
      </c>
      <c r="BA112" s="278">
        <v>0</v>
      </c>
      <c r="BB112" s="345">
        <v>35.321580000000004</v>
      </c>
      <c r="BC112" s="278">
        <v>2.32959</v>
      </c>
      <c r="BD112" s="278">
        <v>0.87426000000000004</v>
      </c>
      <c r="BE112" s="346">
        <v>117.71405</v>
      </c>
      <c r="BG112" s="343">
        <v>500.53970000000004</v>
      </c>
      <c r="BH112" s="346">
        <v>0</v>
      </c>
      <c r="BI112" s="343">
        <v>0</v>
      </c>
      <c r="BJ112" s="346">
        <v>-382.82565</v>
      </c>
      <c r="BK112" s="343">
        <v>-32.214509999999997</v>
      </c>
      <c r="BL112" s="343">
        <v>0</v>
      </c>
      <c r="BM112" s="343">
        <v>-4.9936099999999994</v>
      </c>
      <c r="BN112" s="346">
        <v>-345.61753000000004</v>
      </c>
      <c r="BP112" s="346">
        <v>3439.5243399999999</v>
      </c>
      <c r="BQ112" s="318">
        <v>112.60519000000001</v>
      </c>
      <c r="BR112" s="278">
        <v>-5.10886</v>
      </c>
      <c r="BS112" s="475">
        <v>-983.03231999999991</v>
      </c>
      <c r="BT112" s="278">
        <v>34.020000000000003</v>
      </c>
      <c r="BU112" s="278">
        <v>6.2539999999999996</v>
      </c>
      <c r="BV112" s="345">
        <v>335.35285999999996</v>
      </c>
      <c r="BX112" s="278">
        <v>2492.2719999999999</v>
      </c>
      <c r="BY112" s="483">
        <v>0</v>
      </c>
      <c r="BZ112" s="483">
        <v>93.396000000000001</v>
      </c>
      <c r="CA112" s="260"/>
      <c r="CB112" s="347">
        <v>5.2999999999999989</v>
      </c>
      <c r="CC112" s="486">
        <f t="shared" si="1"/>
        <v>5.2999999999999989</v>
      </c>
      <c r="CD112" s="287"/>
      <c r="CE112" s="278"/>
      <c r="CF112" s="268"/>
      <c r="CI112" s="158">
        <v>0</v>
      </c>
      <c r="CJ112" s="343">
        <v>-225.67071484652857</v>
      </c>
      <c r="CK112" s="343">
        <v>-143.0286463318003</v>
      </c>
      <c r="CL112" s="343">
        <v>-86.776188057559182</v>
      </c>
      <c r="CM112" s="487">
        <v>-116.89866792559808</v>
      </c>
      <c r="CN112" s="487">
        <v>-99.421924835556752</v>
      </c>
      <c r="CO112" s="495">
        <v>-204.21299999999999</v>
      </c>
      <c r="CP112" s="299"/>
      <c r="CQ112" s="489">
        <v>0</v>
      </c>
      <c r="CR112" s="489">
        <v>0</v>
      </c>
    </row>
    <row r="113" spans="1:96" ht="10.5" customHeight="1" x14ac:dyDescent="0.2">
      <c r="A113" s="154">
        <v>305</v>
      </c>
      <c r="B113" s="156" t="s">
        <v>143</v>
      </c>
      <c r="C113" s="337">
        <v>15146</v>
      </c>
      <c r="D113" s="276">
        <v>20</v>
      </c>
      <c r="E113" s="185"/>
      <c r="G113" s="278">
        <v>29667.25057</v>
      </c>
      <c r="H113" s="278">
        <v>133934.15812000001</v>
      </c>
      <c r="I113" s="278"/>
      <c r="J113" s="278">
        <v>44512.224000000002</v>
      </c>
      <c r="K113" s="278">
        <v>6667.0261200000004</v>
      </c>
      <c r="L113" s="278">
        <v>7826.5642300000009</v>
      </c>
      <c r="M113" s="278">
        <v>59005.814350000001</v>
      </c>
      <c r="N113" s="278">
        <v>54345.021999999997</v>
      </c>
      <c r="O113" s="278">
        <v>30.125689999999999</v>
      </c>
      <c r="P113" s="278">
        <v>378.58224000000001</v>
      </c>
      <c r="Q113" s="278">
        <v>687.23497999999995</v>
      </c>
      <c r="R113" s="278">
        <v>1674.53054</v>
      </c>
      <c r="S113" s="278">
        <v>8844.3830799999996</v>
      </c>
      <c r="U113" s="278">
        <v>6855.6382100000001</v>
      </c>
      <c r="V113" s="278">
        <v>0</v>
      </c>
      <c r="W113" s="278">
        <v>0</v>
      </c>
      <c r="X113" s="278">
        <v>1988.7448700000002</v>
      </c>
      <c r="Y113" s="278">
        <v>0</v>
      </c>
      <c r="Z113" s="278">
        <v>0</v>
      </c>
      <c r="AA113" s="278">
        <v>-1119.6566599999999</v>
      </c>
      <c r="AB113" s="278">
        <v>3108.4015299999996</v>
      </c>
      <c r="AD113" s="278">
        <v>19981.6996</v>
      </c>
      <c r="AE113" s="157">
        <v>4892.2395199999992</v>
      </c>
      <c r="AF113" s="184">
        <v>-3952.14356</v>
      </c>
      <c r="AG113" s="278">
        <v>-21188.48242</v>
      </c>
      <c r="AH113" s="278">
        <v>231.39637999999999</v>
      </c>
      <c r="AI113" s="184">
        <v>3966.2102</v>
      </c>
      <c r="AJ113" s="278">
        <v>16535.257109999999</v>
      </c>
      <c r="AL113" s="278">
        <v>42359.317960000008</v>
      </c>
      <c r="AM113" s="184">
        <v>-2528.6655699999997</v>
      </c>
      <c r="AN113" s="278">
        <v>5613.2764200000001</v>
      </c>
      <c r="AO113" s="355">
        <v>15019</v>
      </c>
      <c r="AP113" s="344">
        <v>7.3599999999999994</v>
      </c>
      <c r="AQ113" s="462"/>
      <c r="AS113" s="469">
        <v>15441.640380000001</v>
      </c>
      <c r="AT113" s="278">
        <v>59071.748509999998</v>
      </c>
      <c r="AU113" s="464"/>
      <c r="AV113" s="346">
        <v>21183.307000000001</v>
      </c>
      <c r="AW113" s="346">
        <v>4716.1624900000006</v>
      </c>
      <c r="AX113" s="346">
        <v>8048.3065800000004</v>
      </c>
      <c r="AY113" s="346">
        <v>33947.77607</v>
      </c>
      <c r="AZ113" s="346">
        <v>17208.199000000001</v>
      </c>
      <c r="BA113" s="278">
        <v>50.582999999999998</v>
      </c>
      <c r="BB113" s="345">
        <v>1160.96642</v>
      </c>
      <c r="BC113" s="278">
        <v>495.84001000000001</v>
      </c>
      <c r="BD113" s="278">
        <v>-256.25700000000001</v>
      </c>
      <c r="BE113" s="346">
        <v>8427.66086</v>
      </c>
      <c r="BG113" s="343">
        <v>6797.5097100000003</v>
      </c>
      <c r="BH113" s="343">
        <v>0</v>
      </c>
      <c r="BI113" s="343">
        <v>0</v>
      </c>
      <c r="BJ113" s="346">
        <v>1630.1511499999999</v>
      </c>
      <c r="BK113" s="346">
        <v>0</v>
      </c>
      <c r="BL113" s="343">
        <v>0</v>
      </c>
      <c r="BM113" s="343">
        <v>-902.09758999999997</v>
      </c>
      <c r="BN113" s="346">
        <v>2532.24874</v>
      </c>
      <c r="BP113" s="346">
        <v>22513.948339999999</v>
      </c>
      <c r="BQ113" s="318">
        <v>8190.8955999999998</v>
      </c>
      <c r="BR113" s="278">
        <v>-236.76526000000001</v>
      </c>
      <c r="BS113" s="475">
        <v>-23132.425210000001</v>
      </c>
      <c r="BT113" s="278">
        <v>1983.4440199999999</v>
      </c>
      <c r="BU113" s="278">
        <v>250.89760999999999</v>
      </c>
      <c r="BV113" s="345">
        <v>19228.503690000001</v>
      </c>
      <c r="BX113" s="278">
        <v>64889.787819999998</v>
      </c>
      <c r="BY113" s="483">
        <v>-2114.9591299999997</v>
      </c>
      <c r="BZ113" s="483">
        <v>22530.469860000001</v>
      </c>
      <c r="CA113" s="260"/>
      <c r="CB113" s="347">
        <v>7.4000000000000012</v>
      </c>
      <c r="CC113" s="486">
        <f t="shared" si="1"/>
        <v>7.4000000000000012</v>
      </c>
      <c r="CD113" s="287"/>
      <c r="CE113" s="278"/>
      <c r="CF113" s="268"/>
      <c r="CI113" s="158">
        <v>0</v>
      </c>
      <c r="CJ113" s="343">
        <v>14853.218063799941</v>
      </c>
      <c r="CK113" s="343">
        <v>15227.872370996341</v>
      </c>
      <c r="CL113" s="343">
        <v>14778.694216720743</v>
      </c>
      <c r="CM113" s="487">
        <v>14580.028164498619</v>
      </c>
      <c r="CN113" s="487">
        <v>16109.072327572625</v>
      </c>
      <c r="CO113" s="495">
        <v>-997.87</v>
      </c>
      <c r="CP113" s="299"/>
      <c r="CQ113" s="489">
        <v>1096.2063899999998</v>
      </c>
      <c r="CR113" s="489">
        <v>1260.08033</v>
      </c>
    </row>
    <row r="114" spans="1:96" x14ac:dyDescent="0.2">
      <c r="A114" s="154">
        <v>312</v>
      </c>
      <c r="B114" s="156" t="s">
        <v>144</v>
      </c>
      <c r="C114" s="337">
        <v>1196</v>
      </c>
      <c r="D114" s="276">
        <v>22.5</v>
      </c>
      <c r="E114" s="185"/>
      <c r="G114" s="278">
        <v>1496.3438100000001</v>
      </c>
      <c r="H114" s="278">
        <v>11121.756789999999</v>
      </c>
      <c r="I114" s="278"/>
      <c r="J114" s="278">
        <v>3605.2787899999998</v>
      </c>
      <c r="K114" s="278">
        <v>1434.9004299999999</v>
      </c>
      <c r="L114" s="278">
        <v>490.34613999999999</v>
      </c>
      <c r="M114" s="278">
        <v>5530.5253600000005</v>
      </c>
      <c r="N114" s="278">
        <v>5050.2479999999996</v>
      </c>
      <c r="O114" s="278">
        <v>19.233540000000001</v>
      </c>
      <c r="P114" s="278">
        <v>20.18882</v>
      </c>
      <c r="Q114" s="278">
        <v>10.044729999999999</v>
      </c>
      <c r="R114" s="278">
        <v>137.76954000000001</v>
      </c>
      <c r="S114" s="278">
        <v>834.14615000000003</v>
      </c>
      <c r="U114" s="278">
        <v>9.6801399999999997</v>
      </c>
      <c r="V114" s="278">
        <v>0</v>
      </c>
      <c r="W114" s="278">
        <v>0</v>
      </c>
      <c r="X114" s="278">
        <v>824.46600999999998</v>
      </c>
      <c r="Y114" s="278">
        <v>0</v>
      </c>
      <c r="Z114" s="278">
        <v>0</v>
      </c>
      <c r="AA114" s="278">
        <v>0</v>
      </c>
      <c r="AB114" s="278">
        <v>824.46600999999998</v>
      </c>
      <c r="AD114" s="278">
        <v>-3054.30782</v>
      </c>
      <c r="AE114" s="157">
        <v>846.30091000000004</v>
      </c>
      <c r="AF114" s="184">
        <v>-359.97573</v>
      </c>
      <c r="AG114" s="278">
        <v>-341.34726000000001</v>
      </c>
      <c r="AH114" s="278">
        <v>0</v>
      </c>
      <c r="AI114" s="184">
        <v>58.194000000000003</v>
      </c>
      <c r="AJ114" s="278">
        <v>7034.9810199999993</v>
      </c>
      <c r="AL114" s="278">
        <v>10700</v>
      </c>
      <c r="AM114" s="184">
        <v>106.30436999999999</v>
      </c>
      <c r="AN114" s="278">
        <v>-800</v>
      </c>
      <c r="AO114" s="355">
        <v>1174</v>
      </c>
      <c r="AP114" s="344">
        <v>9.86</v>
      </c>
      <c r="AQ114" s="462"/>
      <c r="AS114" s="469">
        <v>1313.60357</v>
      </c>
      <c r="AT114" s="278">
        <v>4840.4757399999999</v>
      </c>
      <c r="AU114" s="464"/>
      <c r="AV114" s="346">
        <v>1972.6933000000001</v>
      </c>
      <c r="AW114" s="346">
        <v>804.22262999999998</v>
      </c>
      <c r="AX114" s="346">
        <v>518.95776999999998</v>
      </c>
      <c r="AY114" s="346">
        <v>3295.8737000000001</v>
      </c>
      <c r="AZ114" s="346">
        <v>985.46</v>
      </c>
      <c r="BA114" s="278">
        <v>0.96625000000000005</v>
      </c>
      <c r="BB114" s="345">
        <v>348.80708000000004</v>
      </c>
      <c r="BC114" s="278">
        <v>334.10899000000001</v>
      </c>
      <c r="BD114" s="278">
        <v>14.763069999999999</v>
      </c>
      <c r="BE114" s="346">
        <v>725.96662000000003</v>
      </c>
      <c r="BG114" s="343">
        <v>514.60744999999997</v>
      </c>
      <c r="BH114" s="343">
        <v>0.94</v>
      </c>
      <c r="BI114" s="343">
        <v>18.370429999999999</v>
      </c>
      <c r="BJ114" s="346">
        <v>193.92874</v>
      </c>
      <c r="BK114" s="343">
        <v>0</v>
      </c>
      <c r="BL114" s="343">
        <v>0</v>
      </c>
      <c r="BM114" s="343">
        <v>0</v>
      </c>
      <c r="BN114" s="346">
        <v>193.92874</v>
      </c>
      <c r="BP114" s="346">
        <v>-2860.3790800000002</v>
      </c>
      <c r="BQ114" s="318">
        <v>708</v>
      </c>
      <c r="BR114" s="278">
        <v>-1</v>
      </c>
      <c r="BS114" s="475">
        <v>-269</v>
      </c>
      <c r="BT114" s="278">
        <v>0</v>
      </c>
      <c r="BU114" s="278">
        <v>264</v>
      </c>
      <c r="BV114" s="345">
        <v>6614</v>
      </c>
      <c r="BX114" s="278">
        <v>10200</v>
      </c>
      <c r="BY114" s="483">
        <v>36</v>
      </c>
      <c r="BZ114" s="483">
        <v>-500</v>
      </c>
      <c r="CA114" s="260"/>
      <c r="CB114" s="347">
        <v>9.9</v>
      </c>
      <c r="CC114" s="486">
        <f t="shared" si="1"/>
        <v>9.9</v>
      </c>
      <c r="CD114" s="287"/>
      <c r="CE114" s="278"/>
      <c r="CF114" s="268"/>
      <c r="CI114" s="158">
        <v>0</v>
      </c>
      <c r="CJ114" s="343">
        <v>555.30130932803684</v>
      </c>
      <c r="CK114" s="343">
        <v>958.888905863486</v>
      </c>
      <c r="CL114" s="343">
        <v>965.1725488823048</v>
      </c>
      <c r="CM114" s="487">
        <v>1033.4979952735644</v>
      </c>
      <c r="CN114" s="487">
        <v>1138.5923845732855</v>
      </c>
      <c r="CO114" s="495">
        <v>-309.745</v>
      </c>
      <c r="CP114" s="299"/>
      <c r="CQ114" s="489">
        <v>7.4658599999999993</v>
      </c>
      <c r="CR114" s="489">
        <v>0</v>
      </c>
    </row>
    <row r="115" spans="1:96" x14ac:dyDescent="0.2">
      <c r="A115" s="154">
        <v>316</v>
      </c>
      <c r="B115" s="156" t="s">
        <v>145</v>
      </c>
      <c r="C115" s="337">
        <v>4198</v>
      </c>
      <c r="D115" s="276">
        <v>22</v>
      </c>
      <c r="E115" s="185"/>
      <c r="G115" s="278">
        <v>3144.55503</v>
      </c>
      <c r="H115" s="278">
        <v>29463.803079999998</v>
      </c>
      <c r="I115" s="278"/>
      <c r="J115" s="278">
        <v>15857.82611</v>
      </c>
      <c r="K115" s="278">
        <v>1004.3711099999999</v>
      </c>
      <c r="L115" s="278">
        <v>1225.57385</v>
      </c>
      <c r="M115" s="278">
        <v>18087.771069999999</v>
      </c>
      <c r="N115" s="278">
        <v>9327.4930000000004</v>
      </c>
      <c r="O115" s="278">
        <v>11.58511</v>
      </c>
      <c r="P115" s="278">
        <v>82.204689999999999</v>
      </c>
      <c r="Q115" s="278">
        <v>147.57516000000001</v>
      </c>
      <c r="R115" s="278">
        <v>2.3336999999999999</v>
      </c>
      <c r="S115" s="278">
        <v>1170.6378999999999</v>
      </c>
      <c r="U115" s="278">
        <v>1268.44444</v>
      </c>
      <c r="V115" s="278">
        <v>0</v>
      </c>
      <c r="W115" s="278">
        <v>0</v>
      </c>
      <c r="X115" s="278">
        <v>-97.806539999999998</v>
      </c>
      <c r="Y115" s="278">
        <v>0</v>
      </c>
      <c r="Z115" s="278">
        <v>0</v>
      </c>
      <c r="AA115" s="278">
        <v>0</v>
      </c>
      <c r="AB115" s="278">
        <v>-97.806539999999998</v>
      </c>
      <c r="AD115" s="278">
        <v>7100.1702699999996</v>
      </c>
      <c r="AE115" s="157">
        <v>1155.9554499999999</v>
      </c>
      <c r="AF115" s="184">
        <v>-14.682450000000001</v>
      </c>
      <c r="AG115" s="278">
        <v>-4155.1628599999995</v>
      </c>
      <c r="AH115" s="278">
        <v>0</v>
      </c>
      <c r="AI115" s="184">
        <v>14.725</v>
      </c>
      <c r="AJ115" s="278">
        <v>1266.74819</v>
      </c>
      <c r="AL115" s="278">
        <v>21649.129000000001</v>
      </c>
      <c r="AM115" s="184">
        <v>297.11200000000002</v>
      </c>
      <c r="AN115" s="278">
        <v>1985.077</v>
      </c>
      <c r="AO115" s="355">
        <v>4114</v>
      </c>
      <c r="AP115" s="344">
        <v>9.36</v>
      </c>
      <c r="AQ115" s="462"/>
      <c r="AS115" s="469">
        <v>2900.6849500000003</v>
      </c>
      <c r="AT115" s="278">
        <v>13132.86773</v>
      </c>
      <c r="AU115" s="464"/>
      <c r="AV115" s="346">
        <v>8035.1207400000003</v>
      </c>
      <c r="AW115" s="346">
        <v>1304.0350900000001</v>
      </c>
      <c r="AX115" s="346">
        <v>1273.5459599999999</v>
      </c>
      <c r="AY115" s="346">
        <v>10612.701789999999</v>
      </c>
      <c r="AZ115" s="346">
        <v>1641.6220000000001</v>
      </c>
      <c r="BA115" s="278">
        <v>26.699200000000001</v>
      </c>
      <c r="BB115" s="345">
        <v>501.28321</v>
      </c>
      <c r="BC115" s="278">
        <v>83.432429999999997</v>
      </c>
      <c r="BD115" s="278">
        <v>-0.41005999999999998</v>
      </c>
      <c r="BE115" s="346">
        <v>1631.39949</v>
      </c>
      <c r="BG115" s="343">
        <v>1461.5141599999999</v>
      </c>
      <c r="BH115" s="343">
        <v>0</v>
      </c>
      <c r="BI115" s="343">
        <v>0</v>
      </c>
      <c r="BJ115" s="346">
        <v>169.88532999999998</v>
      </c>
      <c r="BK115" s="343">
        <v>0</v>
      </c>
      <c r="BL115" s="343">
        <v>0</v>
      </c>
      <c r="BM115" s="343">
        <v>0</v>
      </c>
      <c r="BN115" s="346">
        <v>169.88532999999998</v>
      </c>
      <c r="BP115" s="346">
        <v>7299.8418700000002</v>
      </c>
      <c r="BQ115" s="318">
        <v>1602.1170099999999</v>
      </c>
      <c r="BR115" s="278">
        <v>-29.28248</v>
      </c>
      <c r="BS115" s="475">
        <v>-3735.6772999999998</v>
      </c>
      <c r="BT115" s="278">
        <v>0</v>
      </c>
      <c r="BU115" s="278">
        <v>1246.65578</v>
      </c>
      <c r="BV115" s="345">
        <v>1897.1977199999999</v>
      </c>
      <c r="BX115" s="278">
        <v>21999.205999999998</v>
      </c>
      <c r="BY115" s="483">
        <v>74</v>
      </c>
      <c r="BZ115" s="483">
        <v>350.077</v>
      </c>
      <c r="CA115" s="260"/>
      <c r="CB115" s="347">
        <v>9.4</v>
      </c>
      <c r="CC115" s="486">
        <f t="shared" si="1"/>
        <v>9.4</v>
      </c>
      <c r="CD115" s="287"/>
      <c r="CE115" s="278"/>
      <c r="CF115" s="268"/>
      <c r="CI115" s="158">
        <v>0</v>
      </c>
      <c r="CJ115" s="343">
        <v>1224.9453453745523</v>
      </c>
      <c r="CK115" s="343">
        <v>876.29650709354394</v>
      </c>
      <c r="CL115" s="343">
        <v>-131.80994412586517</v>
      </c>
      <c r="CM115" s="487">
        <v>-114.3970238473662</v>
      </c>
      <c r="CN115" s="487">
        <v>201.97644040109606</v>
      </c>
      <c r="CO115" s="495">
        <v>-914.63199999999995</v>
      </c>
      <c r="CP115" s="299"/>
      <c r="CQ115" s="489">
        <v>0</v>
      </c>
      <c r="CR115" s="489">
        <v>0</v>
      </c>
    </row>
    <row r="116" spans="1:96" x14ac:dyDescent="0.2">
      <c r="A116" s="154">
        <v>317</v>
      </c>
      <c r="B116" s="156" t="s">
        <v>146</v>
      </c>
      <c r="C116" s="337">
        <v>2474</v>
      </c>
      <c r="D116" s="276">
        <v>21.5</v>
      </c>
      <c r="E116" s="185"/>
      <c r="G116" s="278">
        <v>2085.72345</v>
      </c>
      <c r="H116" s="278">
        <v>21142.929</v>
      </c>
      <c r="I116" s="278"/>
      <c r="J116" s="278">
        <v>6797.78017</v>
      </c>
      <c r="K116" s="278">
        <v>1271.0598500000001</v>
      </c>
      <c r="L116" s="278">
        <v>651.59569999999997</v>
      </c>
      <c r="M116" s="278">
        <v>8720.4357200000013</v>
      </c>
      <c r="N116" s="278">
        <v>12452.348</v>
      </c>
      <c r="O116" s="278">
        <v>8.4596299999999989</v>
      </c>
      <c r="P116" s="278">
        <v>61.172330000000002</v>
      </c>
      <c r="Q116" s="278">
        <v>142.84354000000002</v>
      </c>
      <c r="R116" s="278">
        <v>468.16190999999998</v>
      </c>
      <c r="S116" s="278">
        <v>1737.5471</v>
      </c>
      <c r="U116" s="278">
        <v>806.38007999999991</v>
      </c>
      <c r="V116" s="278">
        <v>0</v>
      </c>
      <c r="W116" s="278">
        <v>0</v>
      </c>
      <c r="X116" s="278">
        <v>931.16701999999998</v>
      </c>
      <c r="Y116" s="278">
        <v>0</v>
      </c>
      <c r="Z116" s="278">
        <v>-42.271080000000005</v>
      </c>
      <c r="AA116" s="278">
        <v>0</v>
      </c>
      <c r="AB116" s="278">
        <v>973.43809999999996</v>
      </c>
      <c r="AD116" s="278">
        <v>10144.16344</v>
      </c>
      <c r="AE116" s="157">
        <v>1644.9709800000001</v>
      </c>
      <c r="AF116" s="184">
        <v>-92.576119999999989</v>
      </c>
      <c r="AG116" s="278">
        <v>-1484.6089099999999</v>
      </c>
      <c r="AH116" s="278">
        <v>238</v>
      </c>
      <c r="AI116" s="184">
        <v>147.33099999999999</v>
      </c>
      <c r="AJ116" s="278">
        <v>10109.39445</v>
      </c>
      <c r="AL116" s="278">
        <v>9396.8359999999993</v>
      </c>
      <c r="AM116" s="184">
        <v>-617.6</v>
      </c>
      <c r="AN116" s="278">
        <v>-938.57600000000002</v>
      </c>
      <c r="AO116" s="355">
        <v>2440</v>
      </c>
      <c r="AP116" s="344">
        <v>8.86</v>
      </c>
      <c r="AQ116" s="462"/>
      <c r="AS116" s="469">
        <v>1337.3519699999999</v>
      </c>
      <c r="AT116" s="278">
        <v>9809.9345499999999</v>
      </c>
      <c r="AU116" s="464"/>
      <c r="AV116" s="346">
        <v>2940.0195199999998</v>
      </c>
      <c r="AW116" s="346">
        <v>822.35625000000005</v>
      </c>
      <c r="AX116" s="346">
        <v>668.83642000000009</v>
      </c>
      <c r="AY116" s="346">
        <v>4431.2121900000002</v>
      </c>
      <c r="AZ116" s="346">
        <v>5153.3050000000003</v>
      </c>
      <c r="BA116" s="278">
        <v>43.747579999999999</v>
      </c>
      <c r="BB116" s="345">
        <v>249.90701999999999</v>
      </c>
      <c r="BC116" s="278">
        <v>647.63548000000003</v>
      </c>
      <c r="BD116" s="278">
        <v>116.56564999999999</v>
      </c>
      <c r="BE116" s="346">
        <v>1436.845</v>
      </c>
      <c r="BG116" s="343">
        <v>908.9789300000001</v>
      </c>
      <c r="BH116" s="343">
        <v>0</v>
      </c>
      <c r="BI116" s="343">
        <v>0</v>
      </c>
      <c r="BJ116" s="346">
        <v>527.86606999999992</v>
      </c>
      <c r="BK116" s="343">
        <v>0</v>
      </c>
      <c r="BL116" s="343">
        <v>-42.271080000000005</v>
      </c>
      <c r="BM116" s="343">
        <v>0</v>
      </c>
      <c r="BN116" s="346">
        <v>570.13715000000002</v>
      </c>
      <c r="BP116" s="346">
        <v>10714.300590000001</v>
      </c>
      <c r="BQ116" s="318">
        <v>1436.845</v>
      </c>
      <c r="BR116" s="278">
        <v>0</v>
      </c>
      <c r="BS116" s="475">
        <v>-639.36097999999993</v>
      </c>
      <c r="BT116" s="278">
        <v>28.513999999999999</v>
      </c>
      <c r="BU116" s="278">
        <v>2.7229999999999999</v>
      </c>
      <c r="BV116" s="345">
        <v>10259.793539999999</v>
      </c>
      <c r="BX116" s="278">
        <v>9343.6367100000007</v>
      </c>
      <c r="BY116" s="483">
        <v>14.4</v>
      </c>
      <c r="BZ116" s="483">
        <v>-53.199289999999998</v>
      </c>
      <c r="CA116" s="260"/>
      <c r="CB116" s="347">
        <v>9.5</v>
      </c>
      <c r="CC116" s="486">
        <f t="shared" si="1"/>
        <v>9.5</v>
      </c>
      <c r="CD116" s="287"/>
      <c r="CE116" s="278"/>
      <c r="CF116" s="268"/>
      <c r="CG116" s="266"/>
      <c r="CI116" s="158">
        <v>0</v>
      </c>
      <c r="CJ116" s="343">
        <v>4678.7325683221243</v>
      </c>
      <c r="CK116" s="343">
        <v>4862.5051281965407</v>
      </c>
      <c r="CL116" s="343">
        <v>4777.8589163484558</v>
      </c>
      <c r="CM116" s="487">
        <v>4742.4690383432635</v>
      </c>
      <c r="CN116" s="487">
        <v>4945.4584673162499</v>
      </c>
      <c r="CO116" s="495">
        <v>58.106000000000002</v>
      </c>
      <c r="CP116" s="299"/>
      <c r="CQ116" s="489">
        <v>0</v>
      </c>
      <c r="CR116" s="489">
        <v>0</v>
      </c>
    </row>
    <row r="117" spans="1:96" x14ac:dyDescent="0.2">
      <c r="A117" s="154">
        <v>398</v>
      </c>
      <c r="B117" s="156" t="s">
        <v>147</v>
      </c>
      <c r="C117" s="337">
        <v>120175</v>
      </c>
      <c r="D117" s="276">
        <v>20.75</v>
      </c>
      <c r="E117" s="185"/>
      <c r="G117" s="278">
        <v>146119.34691999998</v>
      </c>
      <c r="H117" s="278">
        <v>842396.45915000001</v>
      </c>
      <c r="I117" s="278"/>
      <c r="J117" s="278">
        <v>452477.25154000003</v>
      </c>
      <c r="K117" s="278">
        <v>48348.782490000005</v>
      </c>
      <c r="L117" s="278">
        <v>44241.52738</v>
      </c>
      <c r="M117" s="278">
        <v>545067.56140999997</v>
      </c>
      <c r="N117" s="278">
        <v>245733.054</v>
      </c>
      <c r="O117" s="278">
        <v>8190.41824</v>
      </c>
      <c r="P117" s="278">
        <v>11584.37365</v>
      </c>
      <c r="Q117" s="278">
        <v>9645.0228999999999</v>
      </c>
      <c r="R117" s="278">
        <v>1954.59094</v>
      </c>
      <c r="S117" s="278">
        <v>99967.103969999996</v>
      </c>
      <c r="U117" s="278">
        <v>52848.744570000003</v>
      </c>
      <c r="V117" s="278">
        <v>0</v>
      </c>
      <c r="W117" s="278">
        <v>0</v>
      </c>
      <c r="X117" s="278">
        <v>47118.359400000001</v>
      </c>
      <c r="Y117" s="278">
        <v>-139.88023999999999</v>
      </c>
      <c r="Z117" s="278">
        <v>20000</v>
      </c>
      <c r="AA117" s="278">
        <v>173.60271</v>
      </c>
      <c r="AB117" s="278">
        <v>27084.636930000001</v>
      </c>
      <c r="AD117" s="278">
        <v>213059.96531</v>
      </c>
      <c r="AE117" s="157">
        <v>42347.821830000001</v>
      </c>
      <c r="AF117" s="184">
        <v>-57619.282140000003</v>
      </c>
      <c r="AG117" s="278">
        <v>-87542.890620000006</v>
      </c>
      <c r="AH117" s="278">
        <v>2681.2196200000003</v>
      </c>
      <c r="AI117" s="184">
        <v>101239.77004999999</v>
      </c>
      <c r="AJ117" s="278">
        <v>274053.95647000003</v>
      </c>
      <c r="AL117" s="278">
        <v>813547.17286000005</v>
      </c>
      <c r="AM117" s="184">
        <v>38915.622649999998</v>
      </c>
      <c r="AN117" s="278">
        <v>-27999.405870000002</v>
      </c>
      <c r="AO117" s="355">
        <v>120693</v>
      </c>
      <c r="AP117" s="344">
        <v>8.11</v>
      </c>
      <c r="AQ117" s="462"/>
      <c r="AS117" s="469">
        <v>109215.71034999999</v>
      </c>
      <c r="AT117" s="278">
        <v>412513.14038999996</v>
      </c>
      <c r="AU117" s="464"/>
      <c r="AV117" s="346">
        <v>225383.37432</v>
      </c>
      <c r="AW117" s="346">
        <v>32652.219390000002</v>
      </c>
      <c r="AX117" s="346">
        <v>46807.072039999999</v>
      </c>
      <c r="AY117" s="346">
        <v>304842.66574999999</v>
      </c>
      <c r="AZ117" s="346">
        <v>90872.395999999993</v>
      </c>
      <c r="BA117" s="278">
        <v>19024.028910000001</v>
      </c>
      <c r="BB117" s="345">
        <v>19530.50405</v>
      </c>
      <c r="BC117" s="278">
        <v>4916.6353200000003</v>
      </c>
      <c r="BD117" s="278">
        <v>3365.8980899999997</v>
      </c>
      <c r="BE117" s="346">
        <v>94763.924809999997</v>
      </c>
      <c r="BG117" s="343">
        <v>53503.277670000003</v>
      </c>
      <c r="BH117" s="343">
        <v>0</v>
      </c>
      <c r="BI117" s="343">
        <v>0</v>
      </c>
      <c r="BJ117" s="346">
        <v>41260.647140000001</v>
      </c>
      <c r="BK117" s="343">
        <v>9597.0352899999998</v>
      </c>
      <c r="BL117" s="343">
        <v>-10000</v>
      </c>
      <c r="BM117" s="343">
        <v>259.11318999999997</v>
      </c>
      <c r="BN117" s="346">
        <v>41404.498659999997</v>
      </c>
      <c r="BP117" s="346">
        <v>254764.52600999997</v>
      </c>
      <c r="BQ117" s="318">
        <v>73861.798269999999</v>
      </c>
      <c r="BR117" s="278">
        <v>-20902.126539999997</v>
      </c>
      <c r="BS117" s="475">
        <v>-81671.45362</v>
      </c>
      <c r="BT117" s="278">
        <v>671.33371</v>
      </c>
      <c r="BU117" s="278">
        <v>38206.266939999994</v>
      </c>
      <c r="BV117" s="345">
        <v>266352.32338999998</v>
      </c>
      <c r="BX117" s="278">
        <v>744244.21542999998</v>
      </c>
      <c r="BY117" s="483">
        <v>35221.227789999997</v>
      </c>
      <c r="BZ117" s="483">
        <v>-69302.957430000009</v>
      </c>
      <c r="CA117" s="260"/>
      <c r="CB117" s="347">
        <v>8.1</v>
      </c>
      <c r="CC117" s="486">
        <f t="shared" si="1"/>
        <v>8.1</v>
      </c>
      <c r="CD117" s="287"/>
      <c r="CE117" s="278"/>
      <c r="CF117" s="268"/>
      <c r="CI117" s="158">
        <v>0</v>
      </c>
      <c r="CJ117" s="343">
        <v>76958.803072974988</v>
      </c>
      <c r="CK117" s="343">
        <v>86665.660094524064</v>
      </c>
      <c r="CL117" s="343">
        <v>86978.089223330215</v>
      </c>
      <c r="CM117" s="487">
        <v>86054.686872844715</v>
      </c>
      <c r="CN117" s="487">
        <v>91841.731267266834</v>
      </c>
      <c r="CO117" s="495">
        <v>-2056.4079999999999</v>
      </c>
      <c r="CP117" s="299"/>
      <c r="CQ117" s="489">
        <v>1147.1242400000001</v>
      </c>
      <c r="CR117" s="489">
        <v>1302.0310099999999</v>
      </c>
    </row>
    <row r="118" spans="1:96" x14ac:dyDescent="0.2">
      <c r="A118" s="154">
        <v>399</v>
      </c>
      <c r="B118" s="156" t="s">
        <v>148</v>
      </c>
      <c r="C118" s="337">
        <v>7817</v>
      </c>
      <c r="D118" s="276">
        <v>21.75</v>
      </c>
      <c r="E118" s="185"/>
      <c r="G118" s="278">
        <v>4694.7113300000001</v>
      </c>
      <c r="H118" s="278">
        <v>56526.490899999997</v>
      </c>
      <c r="I118" s="278"/>
      <c r="J118" s="278">
        <v>31568.026399999999</v>
      </c>
      <c r="K118" s="278">
        <v>1489.9444099999998</v>
      </c>
      <c r="L118" s="278">
        <v>1560.69381</v>
      </c>
      <c r="M118" s="278">
        <v>34618.664619999996</v>
      </c>
      <c r="N118" s="278">
        <v>19482.512999999999</v>
      </c>
      <c r="O118" s="278">
        <v>10.202819999999999</v>
      </c>
      <c r="P118" s="278">
        <v>151.11149</v>
      </c>
      <c r="Q118" s="278">
        <v>212.00681</v>
      </c>
      <c r="R118" s="278">
        <v>71.831020000000009</v>
      </c>
      <c r="S118" s="278">
        <v>2268.6651699999998</v>
      </c>
      <c r="U118" s="278">
        <v>2165.6384600000001</v>
      </c>
      <c r="V118" s="278">
        <v>0</v>
      </c>
      <c r="W118" s="278">
        <v>0</v>
      </c>
      <c r="X118" s="278">
        <v>103.02671000000001</v>
      </c>
      <c r="Y118" s="278">
        <v>0</v>
      </c>
      <c r="Z118" s="278">
        <v>0</v>
      </c>
      <c r="AA118" s="278">
        <v>0</v>
      </c>
      <c r="AB118" s="278">
        <v>103.02671000000001</v>
      </c>
      <c r="AD118" s="278">
        <v>1679.88057</v>
      </c>
      <c r="AE118" s="157">
        <v>2261.0976499999997</v>
      </c>
      <c r="AF118" s="184">
        <v>-7.56752</v>
      </c>
      <c r="AG118" s="278">
        <v>-2429.5239900000001</v>
      </c>
      <c r="AH118" s="278">
        <v>111.639</v>
      </c>
      <c r="AI118" s="184">
        <v>14.341899999999999</v>
      </c>
      <c r="AJ118" s="278">
        <v>2302.7134799999999</v>
      </c>
      <c r="AL118" s="278">
        <v>27145.026520000003</v>
      </c>
      <c r="AM118" s="184">
        <v>98.538289999999989</v>
      </c>
      <c r="AN118" s="278">
        <v>-409.99735999999996</v>
      </c>
      <c r="AO118" s="355">
        <v>7682</v>
      </c>
      <c r="AP118" s="344">
        <v>9.11</v>
      </c>
      <c r="AQ118" s="462"/>
      <c r="AS118" s="469">
        <v>4187.0132899999999</v>
      </c>
      <c r="AT118" s="278">
        <v>25318.403569999999</v>
      </c>
      <c r="AU118" s="464"/>
      <c r="AV118" s="346">
        <v>16390.120029999998</v>
      </c>
      <c r="AW118" s="346">
        <v>1080.31134</v>
      </c>
      <c r="AX118" s="346">
        <v>1441.36994</v>
      </c>
      <c r="AY118" s="346">
        <v>18911.801309999999</v>
      </c>
      <c r="AZ118" s="346">
        <v>5678.6629999999996</v>
      </c>
      <c r="BA118" s="278">
        <v>68.570399999999992</v>
      </c>
      <c r="BB118" s="345">
        <v>723.72504000000004</v>
      </c>
      <c r="BC118" s="278">
        <v>100.22707000000001</v>
      </c>
      <c r="BD118" s="278">
        <v>5.4749999999999996</v>
      </c>
      <c r="BE118" s="346">
        <v>2898.67146</v>
      </c>
      <c r="BG118" s="343">
        <v>2192.1395699999998</v>
      </c>
      <c r="BH118" s="343">
        <v>0</v>
      </c>
      <c r="BI118" s="343">
        <v>0</v>
      </c>
      <c r="BJ118" s="346">
        <v>706.53188999999998</v>
      </c>
      <c r="BK118" s="346">
        <v>0</v>
      </c>
      <c r="BL118" s="343">
        <v>0</v>
      </c>
      <c r="BM118" s="346">
        <v>0</v>
      </c>
      <c r="BN118" s="346">
        <v>706.53188999999998</v>
      </c>
      <c r="BP118" s="346">
        <v>2386.41246</v>
      </c>
      <c r="BQ118" s="318">
        <v>2898.67146</v>
      </c>
      <c r="BR118" s="278">
        <v>0</v>
      </c>
      <c r="BS118" s="475">
        <v>-1787.8661200000001</v>
      </c>
      <c r="BT118" s="278">
        <v>50.738</v>
      </c>
      <c r="BU118" s="278">
        <v>0</v>
      </c>
      <c r="BV118" s="345">
        <v>917.91757999999993</v>
      </c>
      <c r="BX118" s="278">
        <v>27391.675159999999</v>
      </c>
      <c r="BY118" s="483">
        <v>67.697679999999991</v>
      </c>
      <c r="BZ118" s="483">
        <v>246.64864</v>
      </c>
      <c r="CA118" s="260"/>
      <c r="CB118" s="347">
        <v>9.6</v>
      </c>
      <c r="CC118" s="486">
        <f t="shared" si="1"/>
        <v>9.6</v>
      </c>
      <c r="CD118" s="279"/>
      <c r="CE118" s="278"/>
      <c r="CF118" s="268"/>
      <c r="CI118" s="158">
        <v>0</v>
      </c>
      <c r="CJ118" s="343">
        <v>4364.3442769483727</v>
      </c>
      <c r="CK118" s="343">
        <v>4544.644970627337</v>
      </c>
      <c r="CL118" s="343">
        <v>4600.099697148361</v>
      </c>
      <c r="CM118" s="487">
        <v>4619.2422343109602</v>
      </c>
      <c r="CN118" s="487">
        <v>4826.7935438019822</v>
      </c>
      <c r="CO118" s="495">
        <v>-378.58600000000001</v>
      </c>
      <c r="CP118" s="299"/>
      <c r="CQ118" s="489">
        <v>0</v>
      </c>
      <c r="CR118" s="489">
        <v>0</v>
      </c>
    </row>
    <row r="119" spans="1:96" x14ac:dyDescent="0.2">
      <c r="A119" s="154">
        <v>400</v>
      </c>
      <c r="B119" s="156" t="s">
        <v>149</v>
      </c>
      <c r="C119" s="337">
        <v>8366</v>
      </c>
      <c r="D119" s="276">
        <v>20.75</v>
      </c>
      <c r="E119" s="185"/>
      <c r="G119" s="278">
        <v>11739.850769999999</v>
      </c>
      <c r="H119" s="278">
        <v>65774.830709999995</v>
      </c>
      <c r="I119" s="278"/>
      <c r="J119" s="278">
        <v>27723.090980000001</v>
      </c>
      <c r="K119" s="278">
        <v>3490.5639000000001</v>
      </c>
      <c r="L119" s="278">
        <v>2164.3960400000001</v>
      </c>
      <c r="M119" s="278">
        <v>33378.050920000001</v>
      </c>
      <c r="N119" s="278">
        <v>25784.566999999999</v>
      </c>
      <c r="O119" s="278">
        <v>1.19496</v>
      </c>
      <c r="P119" s="278">
        <v>196.81701999999999</v>
      </c>
      <c r="Q119" s="278">
        <v>329.95087999999998</v>
      </c>
      <c r="R119" s="278">
        <v>130.98183</v>
      </c>
      <c r="S119" s="278">
        <v>5151.8216600000005</v>
      </c>
      <c r="U119" s="278">
        <v>3560.4197400000003</v>
      </c>
      <c r="V119" s="278">
        <v>0</v>
      </c>
      <c r="W119" s="278">
        <v>0</v>
      </c>
      <c r="X119" s="278">
        <v>1591.40192</v>
      </c>
      <c r="Y119" s="278">
        <v>-104.91291</v>
      </c>
      <c r="Z119" s="278">
        <v>0</v>
      </c>
      <c r="AA119" s="278">
        <v>0</v>
      </c>
      <c r="AB119" s="278">
        <v>1696.31483</v>
      </c>
      <c r="AD119" s="278">
        <v>8765.3029699999988</v>
      </c>
      <c r="AE119" s="157">
        <v>5108.1422400000001</v>
      </c>
      <c r="AF119" s="184">
        <v>-43.67942</v>
      </c>
      <c r="AG119" s="278">
        <v>-4206.6912000000002</v>
      </c>
      <c r="AH119" s="278">
        <v>0</v>
      </c>
      <c r="AI119" s="184">
        <v>264.85093999999998</v>
      </c>
      <c r="AJ119" s="278">
        <v>1110.24396</v>
      </c>
      <c r="AL119" s="278">
        <v>23450</v>
      </c>
      <c r="AM119" s="184">
        <v>1.68188</v>
      </c>
      <c r="AN119" s="278">
        <v>-4050</v>
      </c>
      <c r="AO119" s="355">
        <v>8441</v>
      </c>
      <c r="AP119" s="344">
        <v>8.11</v>
      </c>
      <c r="AQ119" s="462"/>
      <c r="AS119" s="469">
        <v>9356.4734600000011</v>
      </c>
      <c r="AT119" s="278">
        <v>33312.962719999996</v>
      </c>
      <c r="AU119" s="464"/>
      <c r="AV119" s="346">
        <v>13923.69715</v>
      </c>
      <c r="AW119" s="346">
        <v>2367.09942</v>
      </c>
      <c r="AX119" s="346">
        <v>2125.6809199999998</v>
      </c>
      <c r="AY119" s="346">
        <v>18416.477489999997</v>
      </c>
      <c r="AZ119" s="346">
        <v>12853.475</v>
      </c>
      <c r="BA119" s="278">
        <v>1.7288599999999998</v>
      </c>
      <c r="BB119" s="345">
        <v>478.98270000000002</v>
      </c>
      <c r="BC119" s="278">
        <v>317.31238999999999</v>
      </c>
      <c r="BD119" s="278">
        <v>134.92138</v>
      </c>
      <c r="BE119" s="346">
        <v>7020.5706799999998</v>
      </c>
      <c r="BG119" s="343">
        <v>3629.9507599999997</v>
      </c>
      <c r="BH119" s="343">
        <v>0</v>
      </c>
      <c r="BI119" s="343">
        <v>0</v>
      </c>
      <c r="BJ119" s="346">
        <v>3390.6199200000001</v>
      </c>
      <c r="BK119" s="346">
        <v>-104.91091</v>
      </c>
      <c r="BL119" s="343">
        <v>0</v>
      </c>
      <c r="BM119" s="346">
        <v>0</v>
      </c>
      <c r="BN119" s="346">
        <v>3495.5308300000002</v>
      </c>
      <c r="BP119" s="346">
        <v>12260.8338</v>
      </c>
      <c r="BQ119" s="318">
        <v>7054.9053199999998</v>
      </c>
      <c r="BR119" s="278">
        <v>34.33464</v>
      </c>
      <c r="BS119" s="475">
        <v>-6049.8535999999995</v>
      </c>
      <c r="BT119" s="278">
        <v>0</v>
      </c>
      <c r="BU119" s="278">
        <v>41.862400000000001</v>
      </c>
      <c r="BV119" s="345">
        <v>1120.4939999999999</v>
      </c>
      <c r="BX119" s="278">
        <v>22450</v>
      </c>
      <c r="BY119" s="483">
        <v>-2.25</v>
      </c>
      <c r="BZ119" s="483">
        <v>-1000</v>
      </c>
      <c r="CA119" s="260"/>
      <c r="CB119" s="347">
        <v>8.1</v>
      </c>
      <c r="CC119" s="486">
        <f t="shared" si="1"/>
        <v>8.1</v>
      </c>
      <c r="CD119" s="287"/>
      <c r="CE119" s="278"/>
      <c r="CF119" s="268"/>
      <c r="CI119" s="158">
        <v>0</v>
      </c>
      <c r="CJ119" s="343">
        <v>12403.511815196283</v>
      </c>
      <c r="CK119" s="343">
        <v>13382.693493154389</v>
      </c>
      <c r="CL119" s="343">
        <v>12979.764744241687</v>
      </c>
      <c r="CM119" s="487">
        <v>12895.882030823685</v>
      </c>
      <c r="CN119" s="487">
        <v>13525.817998866489</v>
      </c>
      <c r="CO119" s="495">
        <v>1885.9480000000001</v>
      </c>
      <c r="CP119" s="299"/>
      <c r="CQ119" s="489">
        <v>20.836689999999997</v>
      </c>
      <c r="CR119" s="489">
        <v>1.97028</v>
      </c>
    </row>
    <row r="120" spans="1:96" x14ac:dyDescent="0.2">
      <c r="A120" s="154">
        <v>407</v>
      </c>
      <c r="B120" s="156" t="s">
        <v>150</v>
      </c>
      <c r="C120" s="337">
        <v>2518</v>
      </c>
      <c r="D120" s="276">
        <v>21.5</v>
      </c>
      <c r="E120" s="185"/>
      <c r="G120" s="278">
        <v>3043.2717699999998</v>
      </c>
      <c r="H120" s="278">
        <v>20766.089</v>
      </c>
      <c r="I120" s="278"/>
      <c r="J120" s="278">
        <v>8422.9744300000002</v>
      </c>
      <c r="K120" s="278">
        <v>925.45315000000005</v>
      </c>
      <c r="L120" s="278">
        <v>757.55072999999993</v>
      </c>
      <c r="M120" s="278">
        <v>10105.97831</v>
      </c>
      <c r="N120" s="278">
        <v>8502.3070000000007</v>
      </c>
      <c r="O120" s="278">
        <v>12.30472</v>
      </c>
      <c r="P120" s="278">
        <v>19.268139999999999</v>
      </c>
      <c r="Q120" s="278">
        <v>277.27815000000004</v>
      </c>
      <c r="R120" s="278">
        <v>1.98566</v>
      </c>
      <c r="S120" s="278">
        <v>1155.61771</v>
      </c>
      <c r="U120" s="278">
        <v>637.00545999999997</v>
      </c>
      <c r="V120" s="278">
        <v>0</v>
      </c>
      <c r="W120" s="278">
        <v>0</v>
      </c>
      <c r="X120" s="278">
        <v>518.61225000000002</v>
      </c>
      <c r="Y120" s="278">
        <v>0</v>
      </c>
      <c r="Z120" s="278">
        <v>0</v>
      </c>
      <c r="AA120" s="278">
        <v>0</v>
      </c>
      <c r="AB120" s="278">
        <v>518.61225000000002</v>
      </c>
      <c r="AD120" s="278">
        <v>6467.4766799999998</v>
      </c>
      <c r="AE120" s="157">
        <v>1157.0904399999999</v>
      </c>
      <c r="AF120" s="184">
        <v>1.4727300000000001</v>
      </c>
      <c r="AG120" s="278">
        <v>-456.89774</v>
      </c>
      <c r="AH120" s="278">
        <v>2.7949999999999999E-2</v>
      </c>
      <c r="AI120" s="184">
        <v>2.1</v>
      </c>
      <c r="AJ120" s="278">
        <v>2410.0317599999998</v>
      </c>
      <c r="AL120" s="278">
        <v>1563.979</v>
      </c>
      <c r="AM120" s="184">
        <v>-2</v>
      </c>
      <c r="AN120" s="278">
        <v>-5038.8490000000002</v>
      </c>
      <c r="AO120" s="355">
        <v>2449</v>
      </c>
      <c r="AP120" s="344">
        <v>8.86</v>
      </c>
      <c r="AQ120" s="462"/>
      <c r="AS120" s="469">
        <v>2353.9902099999999</v>
      </c>
      <c r="AT120" s="278">
        <v>9922.5542399999995</v>
      </c>
      <c r="AU120" s="464"/>
      <c r="AV120" s="346">
        <v>4156.1379399999996</v>
      </c>
      <c r="AW120" s="346">
        <v>528.6700699999999</v>
      </c>
      <c r="AX120" s="346">
        <v>652.70066000000008</v>
      </c>
      <c r="AY120" s="346">
        <v>5337.5086700000002</v>
      </c>
      <c r="AZ120" s="346">
        <v>2735.2750000000001</v>
      </c>
      <c r="BA120" s="278">
        <v>43.496870000000001</v>
      </c>
      <c r="BB120" s="345">
        <v>25.58708</v>
      </c>
      <c r="BC120" s="278">
        <v>287.48138</v>
      </c>
      <c r="BD120" s="278">
        <v>-6.1530200000000006</v>
      </c>
      <c r="BE120" s="346">
        <v>815.76382999999998</v>
      </c>
      <c r="BG120" s="343">
        <v>597.58130000000006</v>
      </c>
      <c r="BH120" s="346">
        <v>0</v>
      </c>
      <c r="BI120" s="343">
        <v>0</v>
      </c>
      <c r="BJ120" s="346">
        <v>218.18252999999999</v>
      </c>
      <c r="BK120" s="343">
        <v>0</v>
      </c>
      <c r="BL120" s="343">
        <v>0</v>
      </c>
      <c r="BM120" s="343">
        <v>0</v>
      </c>
      <c r="BN120" s="346">
        <v>218.18252999999999</v>
      </c>
      <c r="BP120" s="346">
        <v>7003.7591499999999</v>
      </c>
      <c r="BQ120" s="318">
        <v>807.49171000000001</v>
      </c>
      <c r="BR120" s="278">
        <v>-8.272120000000001</v>
      </c>
      <c r="BS120" s="475">
        <v>-617.15360999999996</v>
      </c>
      <c r="BT120" s="278">
        <v>0</v>
      </c>
      <c r="BU120" s="278">
        <v>14.948</v>
      </c>
      <c r="BV120" s="345">
        <v>1372.12069</v>
      </c>
      <c r="BX120" s="278">
        <v>1159.1009999999999</v>
      </c>
      <c r="BY120" s="483">
        <v>0</v>
      </c>
      <c r="BZ120" s="483">
        <v>-404.87799999999999</v>
      </c>
      <c r="CA120" s="260"/>
      <c r="CB120" s="347">
        <v>8.9</v>
      </c>
      <c r="CC120" s="486">
        <f t="shared" si="1"/>
        <v>8.9</v>
      </c>
      <c r="CD120" s="287"/>
      <c r="CE120" s="278"/>
      <c r="CF120" s="268"/>
      <c r="CI120" s="158">
        <v>0</v>
      </c>
      <c r="CJ120" s="343">
        <v>2665.6755352456057</v>
      </c>
      <c r="CK120" s="343">
        <v>2399.9479899577518</v>
      </c>
      <c r="CL120" s="343">
        <v>2541.5717437349358</v>
      </c>
      <c r="CM120" s="487">
        <v>2612.4441411306384</v>
      </c>
      <c r="CN120" s="487">
        <v>2822.2422261934548</v>
      </c>
      <c r="CO120" s="495">
        <v>-448.18299999999999</v>
      </c>
      <c r="CP120" s="299"/>
      <c r="CQ120" s="489">
        <v>1.82056</v>
      </c>
      <c r="CR120" s="489">
        <v>0</v>
      </c>
    </row>
    <row r="121" spans="1:96" x14ac:dyDescent="0.2">
      <c r="A121" s="271">
        <v>402</v>
      </c>
      <c r="B121" s="268" t="s">
        <v>151</v>
      </c>
      <c r="C121" s="337">
        <v>9099</v>
      </c>
      <c r="D121" s="276">
        <v>21.25</v>
      </c>
      <c r="E121" s="318"/>
      <c r="F121" s="317"/>
      <c r="G121" s="278">
        <v>8465.4060399999998</v>
      </c>
      <c r="H121" s="278">
        <v>75891.14731</v>
      </c>
      <c r="I121" s="278"/>
      <c r="J121" s="278">
        <v>28091.140920000002</v>
      </c>
      <c r="K121" s="278">
        <v>2789.28935</v>
      </c>
      <c r="L121" s="278">
        <v>2395.5426200000002</v>
      </c>
      <c r="M121" s="278">
        <v>33275.972889999997</v>
      </c>
      <c r="N121" s="278">
        <v>33561.326000000001</v>
      </c>
      <c r="O121" s="278">
        <v>446.27271999999999</v>
      </c>
      <c r="P121" s="278">
        <v>295.55180000000001</v>
      </c>
      <c r="Q121" s="278">
        <v>1234.9736200000002</v>
      </c>
      <c r="R121" s="278">
        <v>0.61611000000000005</v>
      </c>
      <c r="S121" s="278">
        <v>813.77605000000005</v>
      </c>
      <c r="T121" s="317"/>
      <c r="U121" s="278">
        <v>3273.34049</v>
      </c>
      <c r="V121" s="278">
        <v>0</v>
      </c>
      <c r="W121" s="278">
        <v>0</v>
      </c>
      <c r="X121" s="278">
        <v>-2459.5644400000001</v>
      </c>
      <c r="Y121" s="278">
        <v>-17.21228</v>
      </c>
      <c r="Z121" s="278">
        <v>0</v>
      </c>
      <c r="AA121" s="278">
        <v>0</v>
      </c>
      <c r="AB121" s="278">
        <v>-2442.3521600000004</v>
      </c>
      <c r="AC121" s="317"/>
      <c r="AD121" s="278">
        <v>-666.77447000000018</v>
      </c>
      <c r="AE121" s="476">
        <v>781.79820999999993</v>
      </c>
      <c r="AF121" s="345">
        <v>-31.977790000000002</v>
      </c>
      <c r="AG121" s="278">
        <v>-4286.0624800000005</v>
      </c>
      <c r="AH121" s="278">
        <v>140.32741000000001</v>
      </c>
      <c r="AI121" s="345">
        <v>59.314999999999998</v>
      </c>
      <c r="AJ121" s="278">
        <v>241.88207</v>
      </c>
      <c r="AK121" s="317"/>
      <c r="AL121" s="278">
        <v>37917.440109999996</v>
      </c>
      <c r="AM121" s="345">
        <v>0</v>
      </c>
      <c r="AN121" s="278">
        <v>-25.502220000000001</v>
      </c>
      <c r="AO121" s="355">
        <v>8975</v>
      </c>
      <c r="AP121" s="344">
        <v>8.61</v>
      </c>
      <c r="AQ121" s="460"/>
      <c r="AR121" s="466"/>
      <c r="AS121" s="469">
        <v>6578.6318099999999</v>
      </c>
      <c r="AT121" s="278">
        <v>28402.011829999999</v>
      </c>
      <c r="AU121" s="465"/>
      <c r="AV121" s="345">
        <v>14000.09166</v>
      </c>
      <c r="AW121" s="345">
        <v>1738.18444</v>
      </c>
      <c r="AX121" s="345">
        <v>2309.0545999999999</v>
      </c>
      <c r="AY121" s="345">
        <v>18047.330699999999</v>
      </c>
      <c r="AZ121" s="345">
        <v>7863.0929999999998</v>
      </c>
      <c r="BA121" s="345">
        <v>445.33850999999999</v>
      </c>
      <c r="BB121" s="345">
        <v>860.15175999999997</v>
      </c>
      <c r="BC121" s="345">
        <v>1268.9916899999998</v>
      </c>
      <c r="BD121" s="345">
        <v>386.40194000000002</v>
      </c>
      <c r="BE121" s="345">
        <v>4554.8201799999997</v>
      </c>
      <c r="BF121" s="466"/>
      <c r="BG121" s="345">
        <v>3382.6771400000002</v>
      </c>
      <c r="BH121" s="345">
        <v>0</v>
      </c>
      <c r="BI121" s="345">
        <v>0</v>
      </c>
      <c r="BJ121" s="345">
        <v>1172.1430399999999</v>
      </c>
      <c r="BK121" s="345">
        <v>0</v>
      </c>
      <c r="BL121" s="345">
        <v>0</v>
      </c>
      <c r="BM121" s="345">
        <v>0</v>
      </c>
      <c r="BN121" s="345">
        <v>1172.1430399999999</v>
      </c>
      <c r="BO121" s="466"/>
      <c r="BP121" s="345">
        <v>505.36856999999998</v>
      </c>
      <c r="BQ121" s="476">
        <v>4554.8201799999997</v>
      </c>
      <c r="BR121" s="345">
        <v>0</v>
      </c>
      <c r="BS121" s="345">
        <v>-2433.57395</v>
      </c>
      <c r="BT121" s="345">
        <v>0</v>
      </c>
      <c r="BU121" s="345">
        <v>121.51778999999999</v>
      </c>
      <c r="BV121" s="345">
        <v>950.7531899999999</v>
      </c>
      <c r="BW121" s="466"/>
      <c r="BX121" s="345">
        <v>37867.873050000002</v>
      </c>
      <c r="BY121" s="483">
        <v>0</v>
      </c>
      <c r="BZ121" s="484">
        <v>-49.567059999999998</v>
      </c>
      <c r="CA121" s="319"/>
      <c r="CB121" s="347">
        <v>9.4</v>
      </c>
      <c r="CC121" s="486">
        <f t="shared" si="1"/>
        <v>9.4</v>
      </c>
      <c r="CD121" s="320"/>
      <c r="CE121" s="278"/>
      <c r="CF121" s="268"/>
      <c r="CG121" s="317"/>
      <c r="CH121" s="317"/>
      <c r="CI121" s="317">
        <v>0</v>
      </c>
      <c r="CJ121" s="345">
        <v>4962.3306506253839</v>
      </c>
      <c r="CK121" s="345">
        <v>5778.8338951474516</v>
      </c>
      <c r="CL121" s="343">
        <v>5818.1544761919731</v>
      </c>
      <c r="CM121" s="487">
        <v>5955.1415344896723</v>
      </c>
      <c r="CN121" s="487">
        <v>6832.2847167393347</v>
      </c>
      <c r="CO121" s="495">
        <v>-237.12899999999999</v>
      </c>
      <c r="CP121" s="299"/>
      <c r="CQ121" s="489">
        <v>17.14</v>
      </c>
      <c r="CR121" s="489">
        <v>0</v>
      </c>
    </row>
    <row r="122" spans="1:96" x14ac:dyDescent="0.2">
      <c r="A122" s="154">
        <v>403</v>
      </c>
      <c r="B122" s="156" t="s">
        <v>152</v>
      </c>
      <c r="C122" s="337">
        <v>2820</v>
      </c>
      <c r="D122" s="276">
        <v>22</v>
      </c>
      <c r="E122" s="185"/>
      <c r="G122" s="278">
        <v>2546.4277099999999</v>
      </c>
      <c r="H122" s="278">
        <v>24027.076710000001</v>
      </c>
      <c r="I122" s="278"/>
      <c r="J122" s="278">
        <v>8194.5408399999997</v>
      </c>
      <c r="K122" s="278">
        <v>1019.06125</v>
      </c>
      <c r="L122" s="278">
        <v>1023.03966</v>
      </c>
      <c r="M122" s="278">
        <v>10236.641750000001</v>
      </c>
      <c r="N122" s="278">
        <v>12489.562</v>
      </c>
      <c r="O122" s="278">
        <v>14.29462</v>
      </c>
      <c r="P122" s="278">
        <v>92.208860000000001</v>
      </c>
      <c r="Q122" s="278">
        <v>74.091490000000007</v>
      </c>
      <c r="R122" s="278">
        <v>1.8085</v>
      </c>
      <c r="S122" s="278">
        <v>1239.9235000000001</v>
      </c>
      <c r="U122" s="278">
        <v>1025.19894</v>
      </c>
      <c r="V122" s="278">
        <v>0</v>
      </c>
      <c r="W122" s="278">
        <v>0</v>
      </c>
      <c r="X122" s="278">
        <v>214.72456</v>
      </c>
      <c r="Y122" s="278">
        <v>-26.787130000000001</v>
      </c>
      <c r="Z122" s="278">
        <v>0</v>
      </c>
      <c r="AA122" s="278">
        <v>0</v>
      </c>
      <c r="AB122" s="278">
        <v>241.51169000000002</v>
      </c>
      <c r="AD122" s="278">
        <v>1795.3400999999999</v>
      </c>
      <c r="AE122" s="157">
        <v>1197.0686599999999</v>
      </c>
      <c r="AF122" s="184">
        <v>-42.854839999999996</v>
      </c>
      <c r="AG122" s="278">
        <v>-2058.8064899999999</v>
      </c>
      <c r="AH122" s="278">
        <v>430.55</v>
      </c>
      <c r="AI122" s="184">
        <v>46.598839999999996</v>
      </c>
      <c r="AJ122" s="278">
        <v>1082.4754499999999</v>
      </c>
      <c r="AL122" s="278">
        <v>13575</v>
      </c>
      <c r="AM122" s="184">
        <v>0</v>
      </c>
      <c r="AN122" s="278">
        <v>-50</v>
      </c>
      <c r="AO122" s="355">
        <v>2789</v>
      </c>
      <c r="AP122" s="344">
        <v>9.36</v>
      </c>
      <c r="AQ122" s="462"/>
      <c r="AS122" s="469">
        <v>2330.1695199999999</v>
      </c>
      <c r="AT122" s="278">
        <v>10120.74107</v>
      </c>
      <c r="AU122" s="464"/>
      <c r="AV122" s="346">
        <v>4326.4369900000002</v>
      </c>
      <c r="AW122" s="346">
        <v>591.89559999999994</v>
      </c>
      <c r="AX122" s="346">
        <v>1086.26622</v>
      </c>
      <c r="AY122" s="346">
        <v>6004.5988099999995</v>
      </c>
      <c r="AZ122" s="346">
        <v>3817.4110000000001</v>
      </c>
      <c r="BA122" s="278">
        <v>23.961860000000001</v>
      </c>
      <c r="BB122" s="345">
        <v>283.43334999999996</v>
      </c>
      <c r="BC122" s="278">
        <v>11.969340000000001</v>
      </c>
      <c r="BD122" s="278">
        <v>162.45585999999997</v>
      </c>
      <c r="BE122" s="346">
        <v>1621.4802500000001</v>
      </c>
      <c r="BG122" s="343">
        <v>1104.9018899999999</v>
      </c>
      <c r="BH122" s="343">
        <v>0</v>
      </c>
      <c r="BI122" s="343">
        <v>0</v>
      </c>
      <c r="BJ122" s="346">
        <v>516.57835999999998</v>
      </c>
      <c r="BK122" s="343">
        <v>-26.787130000000001</v>
      </c>
      <c r="BL122" s="343">
        <v>0</v>
      </c>
      <c r="BM122" s="343">
        <v>0</v>
      </c>
      <c r="BN122" s="346">
        <v>543.36549000000002</v>
      </c>
      <c r="BP122" s="346">
        <v>2338.70559</v>
      </c>
      <c r="BQ122" s="318">
        <v>1911.1185</v>
      </c>
      <c r="BR122" s="278">
        <v>289.63825000000003</v>
      </c>
      <c r="BS122" s="475">
        <v>-911.82716000000005</v>
      </c>
      <c r="BT122" s="278">
        <v>123.25880000000001</v>
      </c>
      <c r="BU122" s="278">
        <v>200</v>
      </c>
      <c r="BV122" s="345">
        <v>1796.1996899999999</v>
      </c>
      <c r="BX122" s="278">
        <v>12725</v>
      </c>
      <c r="BY122" s="483">
        <v>0</v>
      </c>
      <c r="BZ122" s="483">
        <v>-850</v>
      </c>
      <c r="CA122" s="260"/>
      <c r="CB122" s="347">
        <v>9.4</v>
      </c>
      <c r="CC122" s="486">
        <f t="shared" si="1"/>
        <v>9.4</v>
      </c>
      <c r="CD122" s="287"/>
      <c r="CE122" s="278"/>
      <c r="CF122" s="268"/>
      <c r="CG122" s="266"/>
      <c r="CI122" s="158">
        <v>0</v>
      </c>
      <c r="CJ122" s="343">
        <v>3213.7695535365715</v>
      </c>
      <c r="CK122" s="343">
        <v>3259.9157462237035</v>
      </c>
      <c r="CL122" s="343">
        <v>3330.4087640498565</v>
      </c>
      <c r="CM122" s="487">
        <v>3340.9629530387192</v>
      </c>
      <c r="CN122" s="487">
        <v>3892.9413201458319</v>
      </c>
      <c r="CO122" s="495">
        <v>81.911000000000001</v>
      </c>
      <c r="CP122" s="299"/>
      <c r="CQ122" s="489">
        <v>0</v>
      </c>
      <c r="CR122" s="489">
        <v>0</v>
      </c>
    </row>
    <row r="123" spans="1:96" x14ac:dyDescent="0.2">
      <c r="A123" s="271">
        <v>405</v>
      </c>
      <c r="B123" s="268" t="s">
        <v>153</v>
      </c>
      <c r="C123" s="337">
        <v>72650</v>
      </c>
      <c r="D123" s="276">
        <v>21</v>
      </c>
      <c r="E123" s="318"/>
      <c r="F123" s="268"/>
      <c r="G123" s="278">
        <v>45723.297490000004</v>
      </c>
      <c r="H123" s="278">
        <v>485962.06127999997</v>
      </c>
      <c r="I123" s="278"/>
      <c r="J123" s="278">
        <v>270618.92362999998</v>
      </c>
      <c r="K123" s="278">
        <v>35649.747210000001</v>
      </c>
      <c r="L123" s="278">
        <v>26952.547770000001</v>
      </c>
      <c r="M123" s="278">
        <v>333221.21861000004</v>
      </c>
      <c r="N123" s="278">
        <v>131909.283</v>
      </c>
      <c r="O123" s="278">
        <v>7584.0820100000001</v>
      </c>
      <c r="P123" s="278">
        <v>2371.2403999999997</v>
      </c>
      <c r="Q123" s="278">
        <v>5043.29666</v>
      </c>
      <c r="R123" s="278">
        <v>14.54707</v>
      </c>
      <c r="S123" s="278">
        <v>36038.338210000002</v>
      </c>
      <c r="T123" s="268"/>
      <c r="U123" s="278">
        <v>19836.63378</v>
      </c>
      <c r="V123" s="278">
        <v>0</v>
      </c>
      <c r="W123" s="278">
        <v>0</v>
      </c>
      <c r="X123" s="278">
        <v>16201.70443</v>
      </c>
      <c r="Y123" s="278">
        <v>-232.85772</v>
      </c>
      <c r="Z123" s="278">
        <v>0</v>
      </c>
      <c r="AA123" s="278">
        <v>0</v>
      </c>
      <c r="AB123" s="278">
        <v>16434.562150000002</v>
      </c>
      <c r="AC123" s="268"/>
      <c r="AD123" s="278">
        <v>108889.23049000002</v>
      </c>
      <c r="AE123" s="318">
        <v>27905.009879999998</v>
      </c>
      <c r="AF123" s="278">
        <v>-8133.3283300000003</v>
      </c>
      <c r="AG123" s="278">
        <v>-20922.18665</v>
      </c>
      <c r="AH123" s="278">
        <v>586.32855000000006</v>
      </c>
      <c r="AI123" s="278">
        <v>1778.2529299999999</v>
      </c>
      <c r="AJ123" s="278">
        <v>37831.20003</v>
      </c>
      <c r="AK123" s="268"/>
      <c r="AL123" s="278">
        <v>189818.57657999999</v>
      </c>
      <c r="AM123" s="278">
        <v>51.030209999999997</v>
      </c>
      <c r="AN123" s="278">
        <v>-56309.7019</v>
      </c>
      <c r="AO123" s="337">
        <v>72988</v>
      </c>
      <c r="AP123" s="344">
        <v>8.36</v>
      </c>
      <c r="AQ123" s="460"/>
      <c r="AS123" s="469">
        <v>41996.583899999998</v>
      </c>
      <c r="AT123" s="278">
        <v>207197.21059</v>
      </c>
      <c r="AU123" s="461"/>
      <c r="AV123" s="278">
        <v>136900.51427000001</v>
      </c>
      <c r="AW123" s="278">
        <v>25181.264940000001</v>
      </c>
      <c r="AX123" s="278">
        <v>27396.17539</v>
      </c>
      <c r="AY123" s="278">
        <v>189477.9546</v>
      </c>
      <c r="AZ123" s="278">
        <v>27077.909</v>
      </c>
      <c r="BA123" s="278">
        <v>9816.0467799999988</v>
      </c>
      <c r="BB123" s="278">
        <v>3784.3067000000001</v>
      </c>
      <c r="BC123" s="278">
        <v>4991.3237600000002</v>
      </c>
      <c r="BD123" s="278">
        <v>13.48535</v>
      </c>
      <c r="BE123" s="278">
        <v>63360.546710000002</v>
      </c>
      <c r="BG123" s="278">
        <v>34507.786959999998</v>
      </c>
      <c r="BH123" s="278">
        <v>0</v>
      </c>
      <c r="BI123" s="278">
        <v>0</v>
      </c>
      <c r="BJ123" s="278">
        <v>28852.759750000001</v>
      </c>
      <c r="BK123" s="278">
        <v>-345.81200999999999</v>
      </c>
      <c r="BL123" s="278">
        <v>-92.880619999999993</v>
      </c>
      <c r="BM123" s="278">
        <v>0</v>
      </c>
      <c r="BN123" s="278">
        <v>29291.452379999999</v>
      </c>
      <c r="BP123" s="278">
        <v>138180.68286999999</v>
      </c>
      <c r="BQ123" s="318">
        <v>61297.100810000004</v>
      </c>
      <c r="BR123" s="278">
        <v>-2063.4458999999997</v>
      </c>
      <c r="BS123" s="278">
        <v>-26753.712960000001</v>
      </c>
      <c r="BT123" s="278">
        <v>444.24382000000003</v>
      </c>
      <c r="BU123" s="278">
        <v>5947.47588</v>
      </c>
      <c r="BV123" s="278">
        <v>60807.089159999996</v>
      </c>
      <c r="BX123" s="278">
        <v>190078.77922999999</v>
      </c>
      <c r="BY123" s="483">
        <v>-5832.3937000000005</v>
      </c>
      <c r="BZ123" s="483">
        <v>260.20265000000001</v>
      </c>
      <c r="CB123" s="347">
        <v>8.3000000000000007</v>
      </c>
      <c r="CC123" s="486">
        <f t="shared" si="1"/>
        <v>8.3000000000000007</v>
      </c>
      <c r="CD123" s="287"/>
      <c r="CE123" s="278"/>
      <c r="CF123" s="268"/>
      <c r="CG123" s="268"/>
      <c r="CH123" s="268"/>
      <c r="CI123" s="268">
        <v>0</v>
      </c>
      <c r="CJ123" s="343">
        <v>22848.932447225605</v>
      </c>
      <c r="CK123" s="343">
        <v>27598.574650348026</v>
      </c>
      <c r="CL123" s="343">
        <v>24388.891894432141</v>
      </c>
      <c r="CM123" s="487">
        <v>25325.094906688071</v>
      </c>
      <c r="CN123" s="487">
        <v>28592.822930008537</v>
      </c>
      <c r="CO123" s="495">
        <v>-5255.3770000000004</v>
      </c>
      <c r="CP123" s="299"/>
      <c r="CQ123" s="489">
        <v>905.00918999999999</v>
      </c>
      <c r="CR123" s="489">
        <v>995.73131000000001</v>
      </c>
    </row>
    <row r="124" spans="1:96" x14ac:dyDescent="0.2">
      <c r="A124" s="154">
        <v>408</v>
      </c>
      <c r="B124" s="156" t="s">
        <v>154</v>
      </c>
      <c r="C124" s="337">
        <v>14099</v>
      </c>
      <c r="D124" s="276">
        <v>21.5</v>
      </c>
      <c r="E124" s="185"/>
      <c r="G124" s="278">
        <v>14000.11616</v>
      </c>
      <c r="H124" s="278">
        <v>106874.72205</v>
      </c>
      <c r="I124" s="278"/>
      <c r="J124" s="278">
        <v>49272.071689999997</v>
      </c>
      <c r="K124" s="278">
        <v>4129.28</v>
      </c>
      <c r="L124" s="278">
        <v>3222.6850800000002</v>
      </c>
      <c r="M124" s="278">
        <v>56624.036770000006</v>
      </c>
      <c r="N124" s="278">
        <v>43729.599000000002</v>
      </c>
      <c r="O124" s="278">
        <v>52.869370000000004</v>
      </c>
      <c r="P124" s="278">
        <v>350.00988000000001</v>
      </c>
      <c r="Q124" s="278">
        <v>382.63887</v>
      </c>
      <c r="R124" s="278">
        <v>82.673059999999992</v>
      </c>
      <c r="S124" s="278">
        <v>8005.9466900000007</v>
      </c>
      <c r="U124" s="278">
        <v>6630.1967999999997</v>
      </c>
      <c r="V124" s="278">
        <v>0</v>
      </c>
      <c r="W124" s="278">
        <v>0</v>
      </c>
      <c r="X124" s="278">
        <v>1375.7498899999998</v>
      </c>
      <c r="Y124" s="278">
        <v>0</v>
      </c>
      <c r="Z124" s="278">
        <v>0</v>
      </c>
      <c r="AA124" s="278">
        <v>0</v>
      </c>
      <c r="AB124" s="278">
        <v>1375.7498899999998</v>
      </c>
      <c r="AD124" s="278">
        <v>22333.13005</v>
      </c>
      <c r="AE124" s="157">
        <v>7909.8781200000003</v>
      </c>
      <c r="AF124" s="184">
        <v>-96.068570000000008</v>
      </c>
      <c r="AG124" s="278">
        <v>-8392.45262</v>
      </c>
      <c r="AH124" s="278">
        <v>270.95</v>
      </c>
      <c r="AI124" s="184">
        <v>187.0993</v>
      </c>
      <c r="AJ124" s="278">
        <v>5581.9954500000003</v>
      </c>
      <c r="AL124" s="278">
        <v>67500</v>
      </c>
      <c r="AM124" s="184">
        <v>-442.8</v>
      </c>
      <c r="AN124" s="278">
        <v>470.81400000000002</v>
      </c>
      <c r="AO124" s="355">
        <v>14024</v>
      </c>
      <c r="AP124" s="344">
        <v>8.8599999999999977</v>
      </c>
      <c r="AQ124" s="462"/>
      <c r="AS124" s="469">
        <v>11184.28039</v>
      </c>
      <c r="AT124" s="278">
        <v>47135.83612</v>
      </c>
      <c r="AU124" s="464"/>
      <c r="AV124" s="346">
        <v>25330.663190000003</v>
      </c>
      <c r="AW124" s="346">
        <v>2984.37212</v>
      </c>
      <c r="AX124" s="346">
        <v>3270.26485</v>
      </c>
      <c r="AY124" s="346">
        <v>31585.300159999999</v>
      </c>
      <c r="AZ124" s="346">
        <v>15933.67</v>
      </c>
      <c r="BA124" s="278">
        <v>19.105520000000002</v>
      </c>
      <c r="BB124" s="345">
        <v>1091.3450399999999</v>
      </c>
      <c r="BC124" s="278">
        <v>293.70703000000003</v>
      </c>
      <c r="BD124" s="278">
        <v>84.260229999999993</v>
      </c>
      <c r="BE124" s="346">
        <v>11139.853539999998</v>
      </c>
      <c r="BG124" s="343">
        <v>6642.7509800000007</v>
      </c>
      <c r="BH124" s="343">
        <v>0</v>
      </c>
      <c r="BI124" s="343">
        <v>92.010139999999993</v>
      </c>
      <c r="BJ124" s="346">
        <v>4405.0924199999999</v>
      </c>
      <c r="BK124" s="343">
        <v>0</v>
      </c>
      <c r="BL124" s="343">
        <v>0</v>
      </c>
      <c r="BM124" s="343">
        <v>0</v>
      </c>
      <c r="BN124" s="346">
        <v>4405.0924199999999</v>
      </c>
      <c r="BP124" s="346">
        <v>26738.222470000001</v>
      </c>
      <c r="BQ124" s="318">
        <v>10942.112660000001</v>
      </c>
      <c r="BR124" s="278">
        <v>-105.73074000000001</v>
      </c>
      <c r="BS124" s="475">
        <v>-6925.1646799999999</v>
      </c>
      <c r="BT124" s="278">
        <v>27.2</v>
      </c>
      <c r="BU124" s="278">
        <v>251.97854000000001</v>
      </c>
      <c r="BV124" s="345">
        <v>3132.84933</v>
      </c>
      <c r="BX124" s="278">
        <v>63100</v>
      </c>
      <c r="BY124" s="483">
        <v>654.04</v>
      </c>
      <c r="BZ124" s="483">
        <v>-4400</v>
      </c>
      <c r="CA124" s="260"/>
      <c r="CB124" s="347">
        <v>8.9</v>
      </c>
      <c r="CC124" s="486">
        <f t="shared" si="1"/>
        <v>8.9</v>
      </c>
      <c r="CD124" s="287"/>
      <c r="CE124" s="278"/>
      <c r="CF124" s="268"/>
      <c r="CI124" s="158">
        <v>0</v>
      </c>
      <c r="CJ124" s="343">
        <v>13889.247001916416</v>
      </c>
      <c r="CK124" s="343">
        <v>14409.013184390362</v>
      </c>
      <c r="CL124" s="343">
        <v>15071.524943430188</v>
      </c>
      <c r="CM124" s="487">
        <v>15133.204452171514</v>
      </c>
      <c r="CN124" s="487">
        <v>16450.518805247368</v>
      </c>
      <c r="CO124" s="495">
        <v>147.68199999999999</v>
      </c>
      <c r="CP124" s="299"/>
      <c r="CQ124" s="489">
        <v>524.09150999999997</v>
      </c>
      <c r="CR124" s="489">
        <v>435.23183</v>
      </c>
    </row>
    <row r="125" spans="1:96" x14ac:dyDescent="0.2">
      <c r="A125" s="154">
        <v>410</v>
      </c>
      <c r="B125" s="156" t="s">
        <v>155</v>
      </c>
      <c r="C125" s="337">
        <v>18775</v>
      </c>
      <c r="D125" s="276">
        <v>21.5</v>
      </c>
      <c r="E125" s="185"/>
      <c r="G125" s="278">
        <v>15806.56236</v>
      </c>
      <c r="H125" s="278">
        <v>140262.36978000001</v>
      </c>
      <c r="I125" s="278"/>
      <c r="J125" s="278">
        <v>67984.998730000007</v>
      </c>
      <c r="K125" s="278">
        <v>4404.7226600000004</v>
      </c>
      <c r="L125" s="278">
        <v>6213.2695100000001</v>
      </c>
      <c r="M125" s="278">
        <v>78602.990900000004</v>
      </c>
      <c r="N125" s="278">
        <v>47605.298999999999</v>
      </c>
      <c r="O125" s="278">
        <v>361.24671000000001</v>
      </c>
      <c r="P125" s="278">
        <v>94.731499999999997</v>
      </c>
      <c r="Q125" s="278">
        <v>284.66235999999998</v>
      </c>
      <c r="R125" s="278">
        <v>55.178650000000005</v>
      </c>
      <c r="S125" s="278">
        <v>2248.4814000000001</v>
      </c>
      <c r="U125" s="278">
        <v>6917.2226300000002</v>
      </c>
      <c r="V125" s="278">
        <v>112.15427000000001</v>
      </c>
      <c r="W125" s="278">
        <v>0</v>
      </c>
      <c r="X125" s="278">
        <v>-4556.5869599999996</v>
      </c>
      <c r="Y125" s="278">
        <v>0</v>
      </c>
      <c r="Z125" s="278">
        <v>0</v>
      </c>
      <c r="AA125" s="278">
        <v>0</v>
      </c>
      <c r="AB125" s="278">
        <v>-4556.5869599999996</v>
      </c>
      <c r="AD125" s="278">
        <v>-2715.2595700000002</v>
      </c>
      <c r="AE125" s="157">
        <v>611.54607999999996</v>
      </c>
      <c r="AF125" s="184">
        <v>-1749.08959</v>
      </c>
      <c r="AG125" s="278">
        <v>-9366.8989600000004</v>
      </c>
      <c r="AH125" s="278">
        <v>94.271000000000001</v>
      </c>
      <c r="AI125" s="184">
        <v>593.64939000000004</v>
      </c>
      <c r="AJ125" s="278">
        <v>4224.2341799999995</v>
      </c>
      <c r="AL125" s="278">
        <v>109033.90810000002</v>
      </c>
      <c r="AM125" s="184">
        <v>705.47390000000007</v>
      </c>
      <c r="AN125" s="278">
        <v>4982.0839599999999</v>
      </c>
      <c r="AO125" s="355">
        <v>18762</v>
      </c>
      <c r="AP125" s="344">
        <v>8.86</v>
      </c>
      <c r="AQ125" s="462"/>
      <c r="AS125" s="469">
        <v>12439.651949999999</v>
      </c>
      <c r="AT125" s="278">
        <v>66237.188290000006</v>
      </c>
      <c r="AU125" s="464"/>
      <c r="AV125" s="346">
        <v>34960.562250000003</v>
      </c>
      <c r="AW125" s="346">
        <v>2803.9677099999999</v>
      </c>
      <c r="AX125" s="346">
        <v>6562.6594400000004</v>
      </c>
      <c r="AY125" s="346">
        <v>44327.189399999996</v>
      </c>
      <c r="AZ125" s="346">
        <v>20740.593000000001</v>
      </c>
      <c r="BA125" s="278">
        <v>350.72800000000001</v>
      </c>
      <c r="BB125" s="345">
        <v>1865.44379</v>
      </c>
      <c r="BC125" s="278">
        <v>416.93354999999997</v>
      </c>
      <c r="BD125" s="278">
        <v>6.9858900000000004</v>
      </c>
      <c r="BE125" s="346">
        <v>10165.477929999999</v>
      </c>
      <c r="BG125" s="343">
        <v>7348.4149500000003</v>
      </c>
      <c r="BH125" s="343">
        <v>0</v>
      </c>
      <c r="BI125" s="343">
        <v>0</v>
      </c>
      <c r="BJ125" s="346">
        <v>2817.0629800000002</v>
      </c>
      <c r="BK125" s="343">
        <v>0</v>
      </c>
      <c r="BL125" s="343">
        <v>0</v>
      </c>
      <c r="BM125" s="346">
        <v>0</v>
      </c>
      <c r="BN125" s="346">
        <v>2817.0629800000002</v>
      </c>
      <c r="BP125" s="346">
        <v>101.80341000000044</v>
      </c>
      <c r="BQ125" s="318">
        <v>9674.339539999999</v>
      </c>
      <c r="BR125" s="278">
        <v>-491.13839000000002</v>
      </c>
      <c r="BS125" s="475">
        <v>-5079.1107400000001</v>
      </c>
      <c r="BT125" s="278">
        <v>125.6</v>
      </c>
      <c r="BU125" s="278">
        <v>561.44299999999998</v>
      </c>
      <c r="BV125" s="345">
        <v>1104.8160800000001</v>
      </c>
      <c r="BX125" s="278">
        <v>110461.43027</v>
      </c>
      <c r="BY125" s="483">
        <v>799.35294999999996</v>
      </c>
      <c r="BZ125" s="483">
        <v>1427.52217</v>
      </c>
      <c r="CA125" s="260"/>
      <c r="CB125" s="347">
        <v>9.9</v>
      </c>
      <c r="CC125" s="486">
        <f t="shared" si="1"/>
        <v>9.9</v>
      </c>
      <c r="CD125" s="287"/>
      <c r="CE125" s="278"/>
      <c r="CF125" s="268"/>
      <c r="CI125" s="158">
        <v>0</v>
      </c>
      <c r="CJ125" s="343">
        <v>15574.244058378785</v>
      </c>
      <c r="CK125" s="343">
        <v>17909.721438579229</v>
      </c>
      <c r="CL125" s="343">
        <v>18298.742304380761</v>
      </c>
      <c r="CM125" s="487">
        <v>18877.625447030958</v>
      </c>
      <c r="CN125" s="487">
        <v>20077.961008790455</v>
      </c>
      <c r="CO125" s="495">
        <v>-1267.51</v>
      </c>
      <c r="CP125" s="299"/>
      <c r="CQ125" s="489">
        <v>0</v>
      </c>
      <c r="CR125" s="489">
        <v>0</v>
      </c>
    </row>
    <row r="126" spans="1:96" x14ac:dyDescent="0.2">
      <c r="A126" s="154">
        <v>416</v>
      </c>
      <c r="B126" s="156" t="s">
        <v>156</v>
      </c>
      <c r="C126" s="337">
        <v>2886</v>
      </c>
      <c r="D126" s="276">
        <v>21.999999999999996</v>
      </c>
      <c r="E126" s="185"/>
      <c r="G126" s="278">
        <v>1829.3334399999999</v>
      </c>
      <c r="H126" s="278">
        <v>20275.24482</v>
      </c>
      <c r="I126" s="278"/>
      <c r="J126" s="278">
        <v>10209.56048</v>
      </c>
      <c r="K126" s="278">
        <v>635.39837</v>
      </c>
      <c r="L126" s="278">
        <v>987.37868000000003</v>
      </c>
      <c r="M126" s="278">
        <v>11832.337529999999</v>
      </c>
      <c r="N126" s="278">
        <v>7245.7520000000004</v>
      </c>
      <c r="O126" s="278">
        <v>4.7831299999999999</v>
      </c>
      <c r="P126" s="278">
        <v>71.514979999999994</v>
      </c>
      <c r="Q126" s="278">
        <v>19.72251</v>
      </c>
      <c r="R126" s="278">
        <v>7.2052100000000001</v>
      </c>
      <c r="S126" s="278">
        <v>577.96359999999993</v>
      </c>
      <c r="U126" s="278">
        <v>559.24099999999999</v>
      </c>
      <c r="V126" s="278">
        <v>0</v>
      </c>
      <c r="W126" s="278">
        <v>0</v>
      </c>
      <c r="X126" s="278">
        <v>18.7226</v>
      </c>
      <c r="Y126" s="278">
        <v>0</v>
      </c>
      <c r="Z126" s="278">
        <v>0</v>
      </c>
      <c r="AA126" s="278">
        <v>0</v>
      </c>
      <c r="AB126" s="278">
        <v>18.7226</v>
      </c>
      <c r="AD126" s="278">
        <v>-1496.0354</v>
      </c>
      <c r="AE126" s="157">
        <v>272.11313000000001</v>
      </c>
      <c r="AF126" s="184">
        <v>-305.85046999999997</v>
      </c>
      <c r="AG126" s="278">
        <v>-1053.03215</v>
      </c>
      <c r="AH126" s="278">
        <v>13.653370000000001</v>
      </c>
      <c r="AI126" s="184">
        <v>99.597999999999999</v>
      </c>
      <c r="AJ126" s="278">
        <v>467.31410999999991</v>
      </c>
      <c r="AL126" s="278">
        <v>6433.2709999999997</v>
      </c>
      <c r="AM126" s="184">
        <v>-5</v>
      </c>
      <c r="AN126" s="278">
        <v>160.238</v>
      </c>
      <c r="AO126" s="355">
        <v>2862</v>
      </c>
      <c r="AP126" s="344">
        <v>9.36</v>
      </c>
      <c r="AQ126" s="462"/>
      <c r="AS126" s="469">
        <v>1659.8628200000001</v>
      </c>
      <c r="AT126" s="278">
        <v>8664.9655000000002</v>
      </c>
      <c r="AU126" s="464"/>
      <c r="AV126" s="346">
        <v>5332.8798399999996</v>
      </c>
      <c r="AW126" s="346">
        <v>360.97571999999997</v>
      </c>
      <c r="AX126" s="346">
        <v>984.19031000000007</v>
      </c>
      <c r="AY126" s="346">
        <v>6678.0458699999999</v>
      </c>
      <c r="AZ126" s="346">
        <v>2014.7750000000001</v>
      </c>
      <c r="BA126" s="278">
        <v>14.6371</v>
      </c>
      <c r="BB126" s="345">
        <v>95.654809999999998</v>
      </c>
      <c r="BC126" s="278">
        <v>30.01595</v>
      </c>
      <c r="BD126" s="278">
        <v>10.02773</v>
      </c>
      <c r="BE126" s="346">
        <v>1628.1481299999998</v>
      </c>
      <c r="BG126" s="343">
        <v>630.01529000000005</v>
      </c>
      <c r="BH126" s="343">
        <v>0</v>
      </c>
      <c r="BI126" s="343">
        <v>0</v>
      </c>
      <c r="BJ126" s="346">
        <v>998.13283999999999</v>
      </c>
      <c r="BK126" s="343">
        <v>0</v>
      </c>
      <c r="BL126" s="343">
        <v>0</v>
      </c>
      <c r="BM126" s="343">
        <v>0</v>
      </c>
      <c r="BN126" s="346">
        <v>998.13283999999999</v>
      </c>
      <c r="BP126" s="346">
        <v>-453.92842999999993</v>
      </c>
      <c r="BQ126" s="318">
        <v>1617.7887700000001</v>
      </c>
      <c r="BR126" s="278">
        <v>-10.359360000000001</v>
      </c>
      <c r="BS126" s="475">
        <v>-186.51328000000001</v>
      </c>
      <c r="BT126" s="278">
        <v>17.842359999999999</v>
      </c>
      <c r="BU126" s="278">
        <v>15.2</v>
      </c>
      <c r="BV126" s="345">
        <v>723.34514000000001</v>
      </c>
      <c r="BX126" s="278">
        <v>5738.509</v>
      </c>
      <c r="BY126" s="483">
        <v>5</v>
      </c>
      <c r="BZ126" s="483">
        <v>-694.76199999999994</v>
      </c>
      <c r="CA126" s="260"/>
      <c r="CB126" s="347">
        <v>9.8999999999999986</v>
      </c>
      <c r="CC126" s="486">
        <f t="shared" si="1"/>
        <v>9.8999999999999986</v>
      </c>
      <c r="CD126" s="287"/>
      <c r="CE126" s="278"/>
      <c r="CF126" s="268"/>
      <c r="CI126" s="158">
        <v>0</v>
      </c>
      <c r="CJ126" s="343">
        <v>1396.8388320878935</v>
      </c>
      <c r="CK126" s="343">
        <v>1433.1714626104872</v>
      </c>
      <c r="CL126" s="343">
        <v>1562.710830350682</v>
      </c>
      <c r="CM126" s="487">
        <v>1669.7043605910908</v>
      </c>
      <c r="CN126" s="487">
        <v>1884.4320772041478</v>
      </c>
      <c r="CO126" s="495">
        <v>-698.98</v>
      </c>
      <c r="CP126" s="299"/>
      <c r="CQ126" s="489">
        <v>0</v>
      </c>
      <c r="CR126" s="489">
        <v>8.6903600000000001</v>
      </c>
    </row>
    <row r="127" spans="1:96" x14ac:dyDescent="0.2">
      <c r="A127" s="154">
        <v>418</v>
      </c>
      <c r="B127" s="156" t="s">
        <v>157</v>
      </c>
      <c r="C127" s="337">
        <v>24580</v>
      </c>
      <c r="D127" s="276">
        <v>20.5</v>
      </c>
      <c r="E127" s="185"/>
      <c r="G127" s="278">
        <v>20993.040420000001</v>
      </c>
      <c r="H127" s="278">
        <v>160137.96734</v>
      </c>
      <c r="I127" s="278"/>
      <c r="J127" s="278">
        <v>102505.88140000001</v>
      </c>
      <c r="K127" s="278">
        <v>7490.9261500000002</v>
      </c>
      <c r="L127" s="278">
        <v>6409.8821600000001</v>
      </c>
      <c r="M127" s="278">
        <v>116406.68970999999</v>
      </c>
      <c r="N127" s="278">
        <v>31369.595000000001</v>
      </c>
      <c r="O127" s="278">
        <v>329.96897999999999</v>
      </c>
      <c r="P127" s="278">
        <v>731.33500000000004</v>
      </c>
      <c r="Q127" s="278">
        <v>710.60623999999996</v>
      </c>
      <c r="R127" s="278">
        <v>35.475730000000006</v>
      </c>
      <c r="S127" s="278">
        <v>8905.1222799999996</v>
      </c>
      <c r="U127" s="278">
        <v>10328.388070000001</v>
      </c>
      <c r="V127" s="278">
        <v>0</v>
      </c>
      <c r="W127" s="278">
        <v>0</v>
      </c>
      <c r="X127" s="278">
        <v>-1423.2657899999999</v>
      </c>
      <c r="Y127" s="278">
        <v>37.807859999999998</v>
      </c>
      <c r="Z127" s="278">
        <v>-2419.1915600000002</v>
      </c>
      <c r="AA127" s="278">
        <v>0</v>
      </c>
      <c r="AB127" s="278">
        <v>958.11791000000005</v>
      </c>
      <c r="AD127" s="278">
        <v>33076.877840000001</v>
      </c>
      <c r="AE127" s="157">
        <v>6662.7291500000001</v>
      </c>
      <c r="AF127" s="184">
        <v>-2242.39311</v>
      </c>
      <c r="AG127" s="278">
        <v>-12237.232669999999</v>
      </c>
      <c r="AH127" s="278">
        <v>754.59316999999999</v>
      </c>
      <c r="AI127" s="184">
        <v>2378.05627</v>
      </c>
      <c r="AJ127" s="278">
        <v>10267.746029999998</v>
      </c>
      <c r="AL127" s="278">
        <v>88914.96974</v>
      </c>
      <c r="AM127" s="184">
        <v>-11.853999999999999</v>
      </c>
      <c r="AN127" s="278">
        <v>-520.01094999999998</v>
      </c>
      <c r="AO127" s="355">
        <v>24711</v>
      </c>
      <c r="AP127" s="344">
        <v>7.86</v>
      </c>
      <c r="AQ127" s="462"/>
      <c r="AS127" s="469">
        <v>15508.64156</v>
      </c>
      <c r="AT127" s="278">
        <v>87486.655209999997</v>
      </c>
      <c r="AU127" s="464"/>
      <c r="AV127" s="346">
        <v>51653.214110000001</v>
      </c>
      <c r="AW127" s="346">
        <v>5359.7432099999996</v>
      </c>
      <c r="AX127" s="346">
        <v>6854.6076800000001</v>
      </c>
      <c r="AY127" s="346">
        <v>63867.565000000002</v>
      </c>
      <c r="AZ127" s="346">
        <v>22291.481</v>
      </c>
      <c r="BA127" s="278">
        <v>364.18379999999996</v>
      </c>
      <c r="BB127" s="345">
        <v>1880.97894</v>
      </c>
      <c r="BC127" s="278">
        <v>595.11934999999994</v>
      </c>
      <c r="BD127" s="278">
        <v>3.2928200000000003</v>
      </c>
      <c r="BE127" s="346">
        <v>13256.06374</v>
      </c>
      <c r="BG127" s="343">
        <v>10076.65423</v>
      </c>
      <c r="BH127" s="343">
        <v>0</v>
      </c>
      <c r="BI127" s="343">
        <v>0</v>
      </c>
      <c r="BJ127" s="346">
        <v>3179.40951</v>
      </c>
      <c r="BK127" s="346">
        <v>912.95007999999996</v>
      </c>
      <c r="BL127" s="343">
        <v>719.19159000000002</v>
      </c>
      <c r="BM127" s="343">
        <v>0</v>
      </c>
      <c r="BN127" s="346">
        <v>1547.26784</v>
      </c>
      <c r="BP127" s="346">
        <v>34624.145680000001</v>
      </c>
      <c r="BQ127" s="318">
        <v>12753.883260000001</v>
      </c>
      <c r="BR127" s="278">
        <v>-502.18047999999999</v>
      </c>
      <c r="BS127" s="475">
        <v>-17220.501359999998</v>
      </c>
      <c r="BT127" s="278">
        <v>404.99205000000001</v>
      </c>
      <c r="BU127" s="278">
        <v>700.23828000000003</v>
      </c>
      <c r="BV127" s="345">
        <v>3043.9986099999996</v>
      </c>
      <c r="BX127" s="278">
        <v>91617.970850000012</v>
      </c>
      <c r="BY127" s="483">
        <v>-7.3384</v>
      </c>
      <c r="BZ127" s="483">
        <v>2703.0011099999997</v>
      </c>
      <c r="CA127" s="263"/>
      <c r="CB127" s="347">
        <v>8.4</v>
      </c>
      <c r="CC127" s="486">
        <f t="shared" si="1"/>
        <v>8.4</v>
      </c>
      <c r="CD127" s="287"/>
      <c r="CE127" s="278"/>
      <c r="CF127" s="268"/>
      <c r="CI127" s="158">
        <v>0</v>
      </c>
      <c r="CJ127" s="343">
        <v>19364.440337518281</v>
      </c>
      <c r="CK127" s="343">
        <v>19560.91357680385</v>
      </c>
      <c r="CL127" s="343">
        <v>21153.073464209487</v>
      </c>
      <c r="CM127" s="487">
        <v>21485.820476044544</v>
      </c>
      <c r="CN127" s="487">
        <v>21883.66015689891</v>
      </c>
      <c r="CO127" s="495">
        <v>-2494.0050000000001</v>
      </c>
      <c r="CP127" s="299"/>
      <c r="CQ127" s="489">
        <v>0</v>
      </c>
      <c r="CR127" s="489">
        <v>0</v>
      </c>
    </row>
    <row r="128" spans="1:96" x14ac:dyDescent="0.2">
      <c r="A128" s="154">
        <v>420</v>
      </c>
      <c r="B128" s="156" t="s">
        <v>158</v>
      </c>
      <c r="C128" s="337">
        <v>9177</v>
      </c>
      <c r="D128" s="276">
        <v>21</v>
      </c>
      <c r="E128" s="185"/>
      <c r="G128" s="278">
        <v>10784.911789999998</v>
      </c>
      <c r="H128" s="278">
        <v>74898.815730000002</v>
      </c>
      <c r="I128" s="278"/>
      <c r="J128" s="278">
        <v>32379.870309999998</v>
      </c>
      <c r="K128" s="278">
        <v>4254.9637499999999</v>
      </c>
      <c r="L128" s="278">
        <v>2805.70469</v>
      </c>
      <c r="M128" s="278">
        <v>39440.53875</v>
      </c>
      <c r="N128" s="278">
        <v>28603.629000000001</v>
      </c>
      <c r="O128" s="278">
        <v>3.98129</v>
      </c>
      <c r="P128" s="278">
        <v>54.19943</v>
      </c>
      <c r="Q128" s="278">
        <v>1025.6978899999999</v>
      </c>
      <c r="R128" s="278">
        <v>177.08223000000001</v>
      </c>
      <c r="S128" s="278">
        <v>4728.6613299999999</v>
      </c>
      <c r="U128" s="278">
        <v>4614.5026500000004</v>
      </c>
      <c r="V128" s="278">
        <v>0</v>
      </c>
      <c r="W128" s="278">
        <v>0</v>
      </c>
      <c r="X128" s="278">
        <v>114.15867999999999</v>
      </c>
      <c r="Y128" s="278">
        <v>-245.87576999999999</v>
      </c>
      <c r="Z128" s="278">
        <v>0</v>
      </c>
      <c r="AA128" s="278">
        <v>0</v>
      </c>
      <c r="AB128" s="278">
        <v>360.03444999999999</v>
      </c>
      <c r="AD128" s="278">
        <v>1861.9468100000001</v>
      </c>
      <c r="AE128" s="157">
        <v>5576.9737599999999</v>
      </c>
      <c r="AF128" s="184">
        <v>848.31243000000006</v>
      </c>
      <c r="AG128" s="278">
        <v>-1871.93569</v>
      </c>
      <c r="AH128" s="278">
        <v>19.853300000000001</v>
      </c>
      <c r="AI128" s="184">
        <v>876.87509999999997</v>
      </c>
      <c r="AJ128" s="278">
        <v>9524.1310799999974</v>
      </c>
      <c r="AL128" s="278">
        <v>4784.4650000000001</v>
      </c>
      <c r="AM128" s="184">
        <v>30</v>
      </c>
      <c r="AN128" s="278">
        <v>-732.52599999999995</v>
      </c>
      <c r="AO128" s="355">
        <v>9049</v>
      </c>
      <c r="AP128" s="344">
        <v>8.36</v>
      </c>
      <c r="AQ128" s="462"/>
      <c r="AS128" s="469">
        <v>8295.9004800000002</v>
      </c>
      <c r="AT128" s="278">
        <v>29048.421719999998</v>
      </c>
      <c r="AU128" s="464"/>
      <c r="AV128" s="346">
        <v>15756.42993</v>
      </c>
      <c r="AW128" s="346">
        <v>2630.5432400000004</v>
      </c>
      <c r="AX128" s="346">
        <v>2935.6815000000001</v>
      </c>
      <c r="AY128" s="346">
        <v>21322.654670000004</v>
      </c>
      <c r="AZ128" s="346">
        <v>5454.8310499999998</v>
      </c>
      <c r="BA128" s="278">
        <v>45.316580000000002</v>
      </c>
      <c r="BB128" s="345">
        <v>88.310980000000001</v>
      </c>
      <c r="BC128" s="278">
        <v>1162.3931399999999</v>
      </c>
      <c r="BD128" s="278">
        <v>3.1709299999999998</v>
      </c>
      <c r="BE128" s="346">
        <v>7141.19229</v>
      </c>
      <c r="BG128" s="343">
        <v>3717.5581400000001</v>
      </c>
      <c r="BH128" s="343">
        <v>0</v>
      </c>
      <c r="BI128" s="343">
        <v>0</v>
      </c>
      <c r="BJ128" s="346">
        <v>3423.6341499999999</v>
      </c>
      <c r="BK128" s="346">
        <v>-276.20830999999998</v>
      </c>
      <c r="BL128" s="346">
        <v>3400</v>
      </c>
      <c r="BM128" s="343">
        <v>0</v>
      </c>
      <c r="BN128" s="346">
        <v>299.84246000000002</v>
      </c>
      <c r="BP128" s="346">
        <v>2161.7892700000002</v>
      </c>
      <c r="BQ128" s="318">
        <v>6165.3305199999995</v>
      </c>
      <c r="BR128" s="278">
        <v>-975.86176999999998</v>
      </c>
      <c r="BS128" s="475">
        <v>-1926.2752</v>
      </c>
      <c r="BT128" s="278">
        <v>0</v>
      </c>
      <c r="BU128" s="278">
        <v>57.35</v>
      </c>
      <c r="BV128" s="345">
        <v>9974.4666400000006</v>
      </c>
      <c r="BX128" s="278">
        <v>4107.8780499999993</v>
      </c>
      <c r="BY128" s="483">
        <v>99.093949999999992</v>
      </c>
      <c r="BZ128" s="483">
        <v>-676.58695</v>
      </c>
      <c r="CA128" s="260"/>
      <c r="CB128" s="347">
        <v>8.4</v>
      </c>
      <c r="CC128" s="486">
        <f t="shared" si="1"/>
        <v>8.4</v>
      </c>
      <c r="CD128" s="287"/>
      <c r="CE128" s="278"/>
      <c r="CF128" s="268"/>
      <c r="CI128" s="158">
        <v>0</v>
      </c>
      <c r="CJ128" s="343">
        <v>4687.4312420456035</v>
      </c>
      <c r="CK128" s="343">
        <v>5121.8411150523198</v>
      </c>
      <c r="CL128" s="343">
        <v>4995.8110068425685</v>
      </c>
      <c r="CM128" s="487">
        <v>5006.8030889255033</v>
      </c>
      <c r="CN128" s="487">
        <v>5654.4074445347551</v>
      </c>
      <c r="CO128" s="495">
        <v>-1076.2439999999999</v>
      </c>
      <c r="CP128" s="299"/>
      <c r="CQ128" s="489">
        <v>0</v>
      </c>
      <c r="CR128" s="489">
        <v>0</v>
      </c>
    </row>
    <row r="129" spans="1:96" x14ac:dyDescent="0.2">
      <c r="A129" s="154">
        <v>421</v>
      </c>
      <c r="B129" s="156" t="s">
        <v>159</v>
      </c>
      <c r="C129" s="337">
        <v>695</v>
      </c>
      <c r="D129" s="276">
        <v>21</v>
      </c>
      <c r="E129" s="185"/>
      <c r="G129" s="278">
        <v>2316</v>
      </c>
      <c r="H129" s="278">
        <v>9367.0759999999991</v>
      </c>
      <c r="I129" s="278"/>
      <c r="J129" s="278">
        <v>1891</v>
      </c>
      <c r="K129" s="278">
        <v>665</v>
      </c>
      <c r="L129" s="278">
        <v>288</v>
      </c>
      <c r="M129" s="278">
        <v>2844.82</v>
      </c>
      <c r="N129" s="278">
        <v>2833.5509999999999</v>
      </c>
      <c r="O129" s="278">
        <v>2.0649999999999999</v>
      </c>
      <c r="P129" s="278">
        <v>71.941999999999993</v>
      </c>
      <c r="Q129" s="278">
        <v>75.021000000000001</v>
      </c>
      <c r="R129" s="278">
        <v>0.84899999999999998</v>
      </c>
      <c r="S129" s="278">
        <v>-835.11199999999997</v>
      </c>
      <c r="U129" s="278">
        <v>564.81299999999999</v>
      </c>
      <c r="V129" s="278">
        <v>0</v>
      </c>
      <c r="W129" s="278">
        <v>0</v>
      </c>
      <c r="X129" s="278">
        <v>-1399.925</v>
      </c>
      <c r="Y129" s="278">
        <v>0</v>
      </c>
      <c r="Z129" s="278">
        <v>0</v>
      </c>
      <c r="AA129" s="278">
        <v>0</v>
      </c>
      <c r="AB129" s="278">
        <v>-1399.925</v>
      </c>
      <c r="AD129" s="278">
        <v>-1642.335</v>
      </c>
      <c r="AE129" s="157">
        <v>-835.11168999999995</v>
      </c>
      <c r="AF129" s="184">
        <v>0</v>
      </c>
      <c r="AG129" s="278">
        <v>-864.36459000000002</v>
      </c>
      <c r="AH129" s="278">
        <v>56</v>
      </c>
      <c r="AI129" s="184">
        <v>25.833299999999998</v>
      </c>
      <c r="AJ129" s="278">
        <v>899.64413000000002</v>
      </c>
      <c r="AL129" s="278">
        <v>10265.805</v>
      </c>
      <c r="AM129" s="184">
        <v>0</v>
      </c>
      <c r="AN129" s="278">
        <v>-1594.5111100000001</v>
      </c>
      <c r="AO129" s="355">
        <v>682</v>
      </c>
      <c r="AP129" s="344">
        <v>8.36</v>
      </c>
      <c r="AQ129" s="462"/>
      <c r="AS129" s="469">
        <v>2994.9056</v>
      </c>
      <c r="AT129" s="278">
        <v>5945.2885199999992</v>
      </c>
      <c r="AU129" s="464"/>
      <c r="AV129" s="346">
        <v>880.11967000000004</v>
      </c>
      <c r="AW129" s="346">
        <v>381.53002000000004</v>
      </c>
      <c r="AX129" s="346">
        <v>417.22403000000003</v>
      </c>
      <c r="AY129" s="346">
        <v>1678.87372</v>
      </c>
      <c r="AZ129" s="346">
        <v>931.93399999999997</v>
      </c>
      <c r="BA129" s="278">
        <v>0</v>
      </c>
      <c r="BB129" s="345">
        <v>165.99423999999999</v>
      </c>
      <c r="BC129" s="278">
        <v>14.272200000000002</v>
      </c>
      <c r="BD129" s="278">
        <v>4.6576700000000004</v>
      </c>
      <c r="BE129" s="346">
        <v>-495.95490999999998</v>
      </c>
      <c r="BG129" s="343">
        <v>578.96283999999991</v>
      </c>
      <c r="BH129" s="346">
        <v>0</v>
      </c>
      <c r="BI129" s="343">
        <v>0</v>
      </c>
      <c r="BJ129" s="346">
        <v>-1074.9177500000001</v>
      </c>
      <c r="BK129" s="343">
        <v>0</v>
      </c>
      <c r="BL129" s="343">
        <v>0</v>
      </c>
      <c r="BM129" s="343">
        <v>0</v>
      </c>
      <c r="BN129" s="346">
        <v>-1074.9177500000001</v>
      </c>
      <c r="BP129" s="346">
        <v>-2715.4408700000004</v>
      </c>
      <c r="BQ129" s="318">
        <v>0</v>
      </c>
      <c r="BR129" s="278">
        <v>0</v>
      </c>
      <c r="BS129" s="475">
        <v>0</v>
      </c>
      <c r="BT129" s="278">
        <v>0</v>
      </c>
      <c r="BU129" s="278">
        <v>0</v>
      </c>
      <c r="BV129" s="345">
        <v>0</v>
      </c>
      <c r="BX129" s="278">
        <v>10606.841100000001</v>
      </c>
      <c r="BY129" s="483">
        <v>0</v>
      </c>
      <c r="BZ129" s="483">
        <v>0</v>
      </c>
      <c r="CA129" s="260"/>
      <c r="CB129" s="347">
        <v>9.4</v>
      </c>
      <c r="CC129" s="486">
        <f t="shared" si="1"/>
        <v>9.4</v>
      </c>
      <c r="CD129" s="287"/>
      <c r="CE129" s="278"/>
      <c r="CF129" s="268"/>
      <c r="CI129" s="158">
        <v>130</v>
      </c>
      <c r="CJ129" s="343">
        <v>1365.4739991620095</v>
      </c>
      <c r="CK129" s="343">
        <v>1382.9744389909429</v>
      </c>
      <c r="CL129" s="343">
        <v>1170.5781729280097</v>
      </c>
      <c r="CM129" s="487">
        <v>1177.0121264077293</v>
      </c>
      <c r="CN129" s="487">
        <v>1289.892612565764</v>
      </c>
      <c r="CO129" s="495">
        <v>-139.482</v>
      </c>
      <c r="CP129" s="299"/>
      <c r="CQ129" s="489">
        <v>0</v>
      </c>
      <c r="CR129" s="489">
        <v>0</v>
      </c>
    </row>
    <row r="130" spans="1:96" x14ac:dyDescent="0.2">
      <c r="A130" s="154">
        <v>422</v>
      </c>
      <c r="B130" s="156" t="s">
        <v>160</v>
      </c>
      <c r="C130" s="337">
        <v>10372</v>
      </c>
      <c r="D130" s="276">
        <v>21</v>
      </c>
      <c r="E130" s="185"/>
      <c r="G130" s="278">
        <v>9800.0067899999995</v>
      </c>
      <c r="H130" s="278">
        <v>91254.785700000008</v>
      </c>
      <c r="I130" s="278"/>
      <c r="J130" s="278">
        <v>31903.59057</v>
      </c>
      <c r="K130" s="278">
        <v>6544.3757000000005</v>
      </c>
      <c r="L130" s="278">
        <v>3392.0689199999997</v>
      </c>
      <c r="M130" s="278">
        <v>41840.035189999995</v>
      </c>
      <c r="N130" s="278">
        <v>42309.303999999996</v>
      </c>
      <c r="O130" s="278">
        <v>201.40264999999999</v>
      </c>
      <c r="P130" s="278">
        <v>40.402610000000003</v>
      </c>
      <c r="Q130" s="278">
        <v>602.40707999999995</v>
      </c>
      <c r="R130" s="278">
        <v>122.86706</v>
      </c>
      <c r="S130" s="278">
        <v>5790.2750300000007</v>
      </c>
      <c r="U130" s="278">
        <v>3694.6389700000004</v>
      </c>
      <c r="V130" s="278">
        <v>0</v>
      </c>
      <c r="W130" s="278">
        <v>0</v>
      </c>
      <c r="X130" s="278">
        <v>2095.6360600000003</v>
      </c>
      <c r="Y130" s="278">
        <v>-447.61840000000001</v>
      </c>
      <c r="Z130" s="278">
        <v>0</v>
      </c>
      <c r="AA130" s="278">
        <v>0</v>
      </c>
      <c r="AB130" s="278">
        <v>2543.2544600000001</v>
      </c>
      <c r="AD130" s="278">
        <v>28640.045720000002</v>
      </c>
      <c r="AE130" s="157">
        <v>3889.7212300000001</v>
      </c>
      <c r="AF130" s="184">
        <v>-1900.5538000000001</v>
      </c>
      <c r="AG130" s="278">
        <v>-3999.9335000000001</v>
      </c>
      <c r="AH130" s="278">
        <v>55.5</v>
      </c>
      <c r="AI130" s="184">
        <v>370.66149999999999</v>
      </c>
      <c r="AJ130" s="278">
        <v>10775.675740000001</v>
      </c>
      <c r="AL130" s="278">
        <v>3275.0000000000009</v>
      </c>
      <c r="AM130" s="184">
        <v>-22.697790000000001</v>
      </c>
      <c r="AN130" s="278">
        <v>-1450</v>
      </c>
      <c r="AO130" s="355">
        <v>10228</v>
      </c>
      <c r="AP130" s="344">
        <v>8.36</v>
      </c>
      <c r="AQ130" s="462"/>
      <c r="AS130" s="469">
        <v>7955.7063500000004</v>
      </c>
      <c r="AT130" s="278">
        <v>33313.574329999996</v>
      </c>
      <c r="AU130" s="464"/>
      <c r="AV130" s="346">
        <v>15958.48214</v>
      </c>
      <c r="AW130" s="346">
        <v>3939.8025499999999</v>
      </c>
      <c r="AX130" s="346">
        <v>3603.2465400000001</v>
      </c>
      <c r="AY130" s="346">
        <v>23501.531230000001</v>
      </c>
      <c r="AZ130" s="346">
        <v>8852.9220000000005</v>
      </c>
      <c r="BA130" s="278">
        <v>662.06203000000005</v>
      </c>
      <c r="BB130" s="345">
        <v>37.895180000000003</v>
      </c>
      <c r="BC130" s="278">
        <v>630.16555000000005</v>
      </c>
      <c r="BD130" s="278">
        <v>-82.59348</v>
      </c>
      <c r="BE130" s="346">
        <v>9771.6360000000004</v>
      </c>
      <c r="BG130" s="343">
        <v>5719.2814699999999</v>
      </c>
      <c r="BH130" s="343">
        <v>0</v>
      </c>
      <c r="BI130" s="343">
        <v>0</v>
      </c>
      <c r="BJ130" s="346">
        <v>4052.3545299999996</v>
      </c>
      <c r="BK130" s="343">
        <v>-443.45294999999999</v>
      </c>
      <c r="BL130" s="343">
        <v>2800</v>
      </c>
      <c r="BM130" s="346">
        <v>0</v>
      </c>
      <c r="BN130" s="346">
        <v>1695.8074799999999</v>
      </c>
      <c r="BP130" s="346">
        <v>30335.853199999998</v>
      </c>
      <c r="BQ130" s="318">
        <v>9803.650599999999</v>
      </c>
      <c r="BR130" s="278">
        <v>32.014600000000002</v>
      </c>
      <c r="BS130" s="475">
        <v>-4525.9544999999998</v>
      </c>
      <c r="BT130" s="278">
        <v>452.76</v>
      </c>
      <c r="BU130" s="278">
        <v>92.443550000000002</v>
      </c>
      <c r="BV130" s="345">
        <v>9408.94283</v>
      </c>
      <c r="BX130" s="278">
        <v>2425</v>
      </c>
      <c r="BY130" s="483">
        <v>-6.12</v>
      </c>
      <c r="BZ130" s="483">
        <v>-850</v>
      </c>
      <c r="CA130" s="260"/>
      <c r="CB130" s="347">
        <v>8.4</v>
      </c>
      <c r="CC130" s="486">
        <f t="shared" si="1"/>
        <v>8.4</v>
      </c>
      <c r="CD130" s="287"/>
      <c r="CE130" s="278"/>
      <c r="CF130" s="268"/>
      <c r="CI130" s="158">
        <v>0</v>
      </c>
      <c r="CJ130" s="343">
        <v>6044.0366331549258</v>
      </c>
      <c r="CK130" s="343">
        <v>7762.1104747049494</v>
      </c>
      <c r="CL130" s="343">
        <v>7123.2938695996372</v>
      </c>
      <c r="CM130" s="487">
        <v>7373.085483090922</v>
      </c>
      <c r="CN130" s="487">
        <v>9067.9861422648555</v>
      </c>
      <c r="CO130" s="495">
        <v>-213.45099999999999</v>
      </c>
      <c r="CP130" s="299"/>
      <c r="CQ130" s="489">
        <v>2455.1746899999998</v>
      </c>
      <c r="CR130" s="489">
        <v>1438.1248700000001</v>
      </c>
    </row>
    <row r="131" spans="1:96" x14ac:dyDescent="0.2">
      <c r="A131" s="154">
        <v>423</v>
      </c>
      <c r="B131" s="156" t="s">
        <v>161</v>
      </c>
      <c r="C131" s="337">
        <v>20497</v>
      </c>
      <c r="D131" s="276">
        <v>19.5</v>
      </c>
      <c r="E131" s="185"/>
      <c r="G131" s="278">
        <v>27326.37572</v>
      </c>
      <c r="H131" s="278">
        <v>133106.62135</v>
      </c>
      <c r="I131" s="278"/>
      <c r="J131" s="278">
        <v>81602.787290000007</v>
      </c>
      <c r="K131" s="278">
        <v>6380.4388399999998</v>
      </c>
      <c r="L131" s="278">
        <v>4783.6941299999999</v>
      </c>
      <c r="M131" s="278">
        <v>92766.920259999999</v>
      </c>
      <c r="N131" s="278">
        <v>26916.623</v>
      </c>
      <c r="O131" s="278">
        <v>54.561920000000001</v>
      </c>
      <c r="P131" s="278">
        <v>586.98033999999996</v>
      </c>
      <c r="Q131" s="278">
        <v>91.989609999999999</v>
      </c>
      <c r="R131" s="278">
        <v>6.0085699999999997</v>
      </c>
      <c r="S131" s="278">
        <v>13456.86025</v>
      </c>
      <c r="U131" s="278">
        <v>7280.9759599999998</v>
      </c>
      <c r="V131" s="278">
        <v>0</v>
      </c>
      <c r="W131" s="278">
        <v>0</v>
      </c>
      <c r="X131" s="278">
        <v>6175.88429</v>
      </c>
      <c r="Y131" s="278">
        <v>-5.0456400000000006</v>
      </c>
      <c r="Z131" s="278">
        <v>4000</v>
      </c>
      <c r="AA131" s="278">
        <v>0</v>
      </c>
      <c r="AB131" s="278">
        <v>2180.9299300000002</v>
      </c>
      <c r="AD131" s="278">
        <v>15398.657949999999</v>
      </c>
      <c r="AE131" s="157">
        <v>11815.49351</v>
      </c>
      <c r="AF131" s="184">
        <v>-1641.36654</v>
      </c>
      <c r="AG131" s="278">
        <v>-11443.08706</v>
      </c>
      <c r="AH131" s="278">
        <v>46</v>
      </c>
      <c r="AI131" s="184">
        <v>1749.6988799999999</v>
      </c>
      <c r="AJ131" s="278">
        <v>8172.6548400000001</v>
      </c>
      <c r="AL131" s="278">
        <v>61626.668169999997</v>
      </c>
      <c r="AM131" s="184">
        <v>18.103080000000002</v>
      </c>
      <c r="AN131" s="278">
        <v>-3419.87311</v>
      </c>
      <c r="AO131" s="355">
        <v>20637</v>
      </c>
      <c r="AP131" s="344">
        <v>6.8600000000000012</v>
      </c>
      <c r="AQ131" s="462"/>
      <c r="AS131" s="469">
        <v>18250.60122</v>
      </c>
      <c r="AT131" s="278">
        <v>66264.054940000002</v>
      </c>
      <c r="AU131" s="464"/>
      <c r="AV131" s="346">
        <v>37578.677950000005</v>
      </c>
      <c r="AW131" s="346">
        <v>4678.6912999999995</v>
      </c>
      <c r="AX131" s="346">
        <v>4778.2708400000001</v>
      </c>
      <c r="AY131" s="346">
        <v>47035.640090000001</v>
      </c>
      <c r="AZ131" s="346">
        <v>16421.075000000001</v>
      </c>
      <c r="BA131" s="278">
        <v>153.96548999999999</v>
      </c>
      <c r="BB131" s="345">
        <v>787.10135000000002</v>
      </c>
      <c r="BC131" s="278">
        <v>307.59555</v>
      </c>
      <c r="BD131" s="278">
        <v>3.7726299999999999</v>
      </c>
      <c r="BE131" s="346">
        <v>15113.94843</v>
      </c>
      <c r="BG131" s="343">
        <v>8404.3708299999998</v>
      </c>
      <c r="BH131" s="343">
        <v>0</v>
      </c>
      <c r="BI131" s="343">
        <v>0</v>
      </c>
      <c r="BJ131" s="346">
        <v>6709.5775999999996</v>
      </c>
      <c r="BK131" s="343">
        <v>-5.0456400000000006</v>
      </c>
      <c r="BL131" s="343">
        <v>4000</v>
      </c>
      <c r="BM131" s="343">
        <v>0</v>
      </c>
      <c r="BN131" s="346">
        <v>2714.6232400000004</v>
      </c>
      <c r="BP131" s="346">
        <v>18113.281189999998</v>
      </c>
      <c r="BQ131" s="318">
        <v>13012.87657</v>
      </c>
      <c r="BR131" s="278">
        <v>-2101.07186</v>
      </c>
      <c r="BS131" s="475">
        <v>-13125.301660000001</v>
      </c>
      <c r="BT131" s="278">
        <v>1218.61644</v>
      </c>
      <c r="BU131" s="278">
        <v>2589.1876200000002</v>
      </c>
      <c r="BV131" s="345">
        <v>3622.4276199999999</v>
      </c>
      <c r="BX131" s="278">
        <v>53112.482000000004</v>
      </c>
      <c r="BY131" s="483">
        <v>18.103080000000002</v>
      </c>
      <c r="BZ131" s="483">
        <v>-8382.6756600000008</v>
      </c>
      <c r="CA131" s="260"/>
      <c r="CB131" s="347">
        <v>6.9</v>
      </c>
      <c r="CC131" s="486">
        <f t="shared" si="1"/>
        <v>6.9</v>
      </c>
      <c r="CD131" s="287"/>
      <c r="CE131" s="278"/>
      <c r="CF131" s="268"/>
      <c r="CI131" s="158">
        <v>0</v>
      </c>
      <c r="CJ131" s="343">
        <v>16051.75813390523</v>
      </c>
      <c r="CK131" s="343">
        <v>16302.838310216383</v>
      </c>
      <c r="CL131" s="343">
        <v>16720.061383599692</v>
      </c>
      <c r="CM131" s="487">
        <v>16709.363577208864</v>
      </c>
      <c r="CN131" s="487">
        <v>16977.214927025358</v>
      </c>
      <c r="CO131" s="495">
        <v>-2259.6120000000001</v>
      </c>
      <c r="CP131" s="299"/>
      <c r="CQ131" s="489">
        <v>0</v>
      </c>
      <c r="CR131" s="489">
        <v>0</v>
      </c>
    </row>
    <row r="132" spans="1:96" x14ac:dyDescent="0.2">
      <c r="A132" s="154">
        <v>425</v>
      </c>
      <c r="B132" s="156" t="s">
        <v>162</v>
      </c>
      <c r="C132" s="337">
        <v>10258</v>
      </c>
      <c r="D132" s="276">
        <v>21.5</v>
      </c>
      <c r="E132" s="185"/>
      <c r="G132" s="278">
        <v>9985.18037</v>
      </c>
      <c r="H132" s="278">
        <v>74036.561790000007</v>
      </c>
      <c r="I132" s="278"/>
      <c r="J132" s="278">
        <v>36045.642049999995</v>
      </c>
      <c r="K132" s="278">
        <v>1548.1983799999998</v>
      </c>
      <c r="L132" s="278">
        <v>1593.25442</v>
      </c>
      <c r="M132" s="278">
        <v>39187.094850000001</v>
      </c>
      <c r="N132" s="278">
        <v>29200.089</v>
      </c>
      <c r="O132" s="278">
        <v>7.1671400000000007</v>
      </c>
      <c r="P132" s="278">
        <v>176.56308999999999</v>
      </c>
      <c r="Q132" s="278">
        <v>53.308199999999999</v>
      </c>
      <c r="R132" s="278">
        <v>6.31088</v>
      </c>
      <c r="S132" s="278">
        <v>4357.58367</v>
      </c>
      <c r="U132" s="278">
        <v>4192.2286899999999</v>
      </c>
      <c r="V132" s="278">
        <v>0</v>
      </c>
      <c r="W132" s="278">
        <v>0</v>
      </c>
      <c r="X132" s="278">
        <v>165.35498000000001</v>
      </c>
      <c r="Y132" s="278">
        <v>-983.73612000000003</v>
      </c>
      <c r="Z132" s="278">
        <v>-200</v>
      </c>
      <c r="AA132" s="278">
        <v>0</v>
      </c>
      <c r="AB132" s="278">
        <v>1349.0911000000001</v>
      </c>
      <c r="AD132" s="278">
        <v>10303.76441</v>
      </c>
      <c r="AE132" s="157">
        <v>4001.3714100000002</v>
      </c>
      <c r="AF132" s="184">
        <v>-356.21224999999998</v>
      </c>
      <c r="AG132" s="278">
        <v>-5218.0605300000007</v>
      </c>
      <c r="AH132" s="278">
        <v>631.01353000000006</v>
      </c>
      <c r="AI132" s="184">
        <v>408.04374999999999</v>
      </c>
      <c r="AJ132" s="278">
        <v>3184.2197700000006</v>
      </c>
      <c r="AL132" s="278">
        <v>28350</v>
      </c>
      <c r="AM132" s="184">
        <v>181.62663000000001</v>
      </c>
      <c r="AN132" s="278">
        <v>-2808.85304</v>
      </c>
      <c r="AO132" s="355">
        <v>10256</v>
      </c>
      <c r="AP132" s="344">
        <v>8.86</v>
      </c>
      <c r="AQ132" s="462"/>
      <c r="AS132" s="469">
        <v>5164.8670300000003</v>
      </c>
      <c r="AT132" s="278">
        <v>44024.994659999997</v>
      </c>
      <c r="AU132" s="464"/>
      <c r="AV132" s="346">
        <v>19099.84647</v>
      </c>
      <c r="AW132" s="346">
        <v>1051.90426</v>
      </c>
      <c r="AX132" s="346">
        <v>1791.5025700000001</v>
      </c>
      <c r="AY132" s="346">
        <v>21943.2533</v>
      </c>
      <c r="AZ132" s="346">
        <v>20710.258000000002</v>
      </c>
      <c r="BA132" s="278">
        <v>16.544709999999998</v>
      </c>
      <c r="BB132" s="345">
        <v>657.18092000000001</v>
      </c>
      <c r="BC132" s="278">
        <v>50.776410000000006</v>
      </c>
      <c r="BD132" s="278">
        <v>6.4128699999999998</v>
      </c>
      <c r="BE132" s="346">
        <v>3290.1989900000003</v>
      </c>
      <c r="BG132" s="343">
        <v>4165.4478900000004</v>
      </c>
      <c r="BH132" s="343">
        <v>0</v>
      </c>
      <c r="BI132" s="343">
        <v>0</v>
      </c>
      <c r="BJ132" s="346">
        <v>-875.24890000000005</v>
      </c>
      <c r="BK132" s="343">
        <v>-983.73612000000003</v>
      </c>
      <c r="BL132" s="343">
        <v>-1600</v>
      </c>
      <c r="BM132" s="343">
        <v>0</v>
      </c>
      <c r="BN132" s="346">
        <v>1708.48722</v>
      </c>
      <c r="BP132" s="346">
        <v>12012.251629999999</v>
      </c>
      <c r="BQ132" s="318">
        <v>3139.81259</v>
      </c>
      <c r="BR132" s="278">
        <v>-150.38639999999998</v>
      </c>
      <c r="BS132" s="475">
        <v>-4990.1194599999999</v>
      </c>
      <c r="BT132" s="278">
        <v>496.35</v>
      </c>
      <c r="BU132" s="278">
        <v>199.74089999999998</v>
      </c>
      <c r="BV132" s="345">
        <v>2105.9927400000001</v>
      </c>
      <c r="BX132" s="278">
        <v>30050</v>
      </c>
      <c r="BY132" s="483">
        <v>177.93436</v>
      </c>
      <c r="BZ132" s="483">
        <v>1700</v>
      </c>
      <c r="CA132" s="260"/>
      <c r="CB132" s="347">
        <v>8.9</v>
      </c>
      <c r="CC132" s="486">
        <f t="shared" ref="CC132:CC195" si="2">CB132</f>
        <v>8.9</v>
      </c>
      <c r="CD132" s="287"/>
      <c r="CE132" s="278"/>
      <c r="CF132" s="268"/>
      <c r="CI132" s="158">
        <v>0</v>
      </c>
      <c r="CJ132" s="343">
        <v>20962.318269118496</v>
      </c>
      <c r="CK132" s="343">
        <v>21516.05257427019</v>
      </c>
      <c r="CL132" s="343">
        <v>22048.970525797275</v>
      </c>
      <c r="CM132" s="487">
        <v>22328.615626694202</v>
      </c>
      <c r="CN132" s="487">
        <v>23010.034182827912</v>
      </c>
      <c r="CO132" s="495">
        <v>904.82600000000002</v>
      </c>
      <c r="CP132" s="299"/>
      <c r="CQ132" s="489">
        <v>144.17986999999999</v>
      </c>
      <c r="CR132" s="489">
        <v>93.087990000000005</v>
      </c>
    </row>
    <row r="133" spans="1:96" x14ac:dyDescent="0.2">
      <c r="A133" s="154">
        <v>426</v>
      </c>
      <c r="B133" s="156" t="s">
        <v>163</v>
      </c>
      <c r="C133" s="337">
        <v>11962</v>
      </c>
      <c r="D133" s="276">
        <v>21.500000000000004</v>
      </c>
      <c r="E133" s="185"/>
      <c r="G133" s="278">
        <v>13688.2516</v>
      </c>
      <c r="H133" s="278">
        <v>91189.58084000001</v>
      </c>
      <c r="I133" s="278"/>
      <c r="J133" s="278">
        <v>40577.049490000005</v>
      </c>
      <c r="K133" s="278">
        <v>2321.1083699999999</v>
      </c>
      <c r="L133" s="278">
        <v>3001.56115</v>
      </c>
      <c r="M133" s="278">
        <v>45899.719010000001</v>
      </c>
      <c r="N133" s="278">
        <v>31916.65</v>
      </c>
      <c r="O133" s="278">
        <v>1.4199999999999998E-3</v>
      </c>
      <c r="P133" s="278">
        <v>265.53645</v>
      </c>
      <c r="Q133" s="278">
        <v>348.08785</v>
      </c>
      <c r="R133" s="278">
        <v>2.77413</v>
      </c>
      <c r="S133" s="278">
        <v>394.81846000000002</v>
      </c>
      <c r="U133" s="278">
        <v>3853.1467299999999</v>
      </c>
      <c r="V133" s="278">
        <v>0</v>
      </c>
      <c r="W133" s="278">
        <v>0</v>
      </c>
      <c r="X133" s="278">
        <v>-3458.32827</v>
      </c>
      <c r="Y133" s="278">
        <v>-119.18353999999999</v>
      </c>
      <c r="Z133" s="278">
        <v>0</v>
      </c>
      <c r="AA133" s="278">
        <v>0</v>
      </c>
      <c r="AB133" s="278">
        <v>-3339.14473</v>
      </c>
      <c r="AD133" s="278">
        <v>230.42143000000016</v>
      </c>
      <c r="AE133" s="157">
        <v>358.51198999999997</v>
      </c>
      <c r="AF133" s="184">
        <v>-36.306470000000004</v>
      </c>
      <c r="AG133" s="278">
        <v>-6216.8887999999997</v>
      </c>
      <c r="AH133" s="278">
        <v>161.71893</v>
      </c>
      <c r="AI133" s="184">
        <v>394.74996999999996</v>
      </c>
      <c r="AJ133" s="278">
        <v>2353.10754</v>
      </c>
      <c r="AL133" s="278">
        <v>51277.895230000002</v>
      </c>
      <c r="AM133" s="184">
        <v>6.77</v>
      </c>
      <c r="AN133" s="278">
        <v>2439.8613500000001</v>
      </c>
      <c r="AO133" s="355">
        <v>11969</v>
      </c>
      <c r="AP133" s="344">
        <v>8.86</v>
      </c>
      <c r="AQ133" s="462"/>
      <c r="AS133" s="469">
        <v>10044.00108</v>
      </c>
      <c r="AT133" s="278">
        <v>40026.025030000004</v>
      </c>
      <c r="AU133" s="464"/>
      <c r="AV133" s="346">
        <v>20562.269620000003</v>
      </c>
      <c r="AW133" s="346">
        <v>1680.2698700000001</v>
      </c>
      <c r="AX133" s="346">
        <v>3071.5837200000001</v>
      </c>
      <c r="AY133" s="346">
        <v>25314.123210000002</v>
      </c>
      <c r="AZ133" s="346">
        <v>10997.307000000001</v>
      </c>
      <c r="BA133" s="278">
        <v>7.7849300000000001</v>
      </c>
      <c r="BB133" s="345">
        <v>636.58796999999993</v>
      </c>
      <c r="BC133" s="278">
        <v>366.08782000000002</v>
      </c>
      <c r="BD133" s="278">
        <v>1.0846800000000001</v>
      </c>
      <c r="BE133" s="346">
        <v>6065.6063600000007</v>
      </c>
      <c r="BG133" s="343">
        <v>4074.9191000000001</v>
      </c>
      <c r="BH133" s="343">
        <v>0</v>
      </c>
      <c r="BI133" s="343">
        <v>0</v>
      </c>
      <c r="BJ133" s="346">
        <v>1990.6872599999999</v>
      </c>
      <c r="BK133" s="343">
        <v>-119.18355</v>
      </c>
      <c r="BL133" s="343">
        <v>0</v>
      </c>
      <c r="BM133" s="343">
        <v>0</v>
      </c>
      <c r="BN133" s="346">
        <v>2109.8708099999999</v>
      </c>
      <c r="BP133" s="346">
        <v>2340.2922399999998</v>
      </c>
      <c r="BQ133" s="318">
        <v>4384.3215099999998</v>
      </c>
      <c r="BR133" s="278">
        <v>-1681.28485</v>
      </c>
      <c r="BS133" s="475">
        <v>-3401.9051300000001</v>
      </c>
      <c r="BT133" s="278">
        <v>527.14106000000004</v>
      </c>
      <c r="BU133" s="278">
        <v>214.05500000000001</v>
      </c>
      <c r="BV133" s="345">
        <v>741.92399999999998</v>
      </c>
      <c r="BX133" s="278">
        <v>49931.236529999995</v>
      </c>
      <c r="BY133" s="483">
        <v>-10.395</v>
      </c>
      <c r="BZ133" s="483">
        <v>-1346.6587</v>
      </c>
      <c r="CA133" s="260"/>
      <c r="CB133" s="347">
        <v>8.9</v>
      </c>
      <c r="CC133" s="486">
        <f t="shared" si="2"/>
        <v>8.9</v>
      </c>
      <c r="CD133" s="287"/>
      <c r="CE133" s="278"/>
      <c r="CF133" s="268"/>
      <c r="CI133" s="158">
        <v>0</v>
      </c>
      <c r="CJ133" s="343">
        <v>7919.6855667143391</v>
      </c>
      <c r="CK133" s="343">
        <v>8877.2070163295029</v>
      </c>
      <c r="CL133" s="343">
        <v>9276.441943206084</v>
      </c>
      <c r="CM133" s="487">
        <v>9476.1374141452579</v>
      </c>
      <c r="CN133" s="487">
        <v>10336.454198324474</v>
      </c>
      <c r="CO133" s="495">
        <v>-2117.694</v>
      </c>
      <c r="CP133" s="299"/>
      <c r="CQ133" s="489">
        <v>0</v>
      </c>
      <c r="CR133" s="489">
        <v>0</v>
      </c>
    </row>
    <row r="134" spans="1:96" x14ac:dyDescent="0.2">
      <c r="A134" s="154">
        <v>444</v>
      </c>
      <c r="B134" s="156" t="s">
        <v>164</v>
      </c>
      <c r="C134" s="337">
        <v>45811</v>
      </c>
      <c r="D134" s="276">
        <v>20.5</v>
      </c>
      <c r="E134" s="185"/>
      <c r="G134" s="278">
        <v>60809.278840000006</v>
      </c>
      <c r="H134" s="278">
        <v>336917.16941999999</v>
      </c>
      <c r="I134" s="278"/>
      <c r="J134" s="278">
        <v>185348.73991</v>
      </c>
      <c r="K134" s="278">
        <v>13694.885460000001</v>
      </c>
      <c r="L134" s="278">
        <v>14365.12139</v>
      </c>
      <c r="M134" s="278">
        <v>213408.74675999998</v>
      </c>
      <c r="N134" s="278">
        <v>89610.720520000003</v>
      </c>
      <c r="O134" s="278">
        <v>150.61601000000002</v>
      </c>
      <c r="P134" s="278">
        <v>2012.2159999999999</v>
      </c>
      <c r="Q134" s="278">
        <v>2225.6321000000003</v>
      </c>
      <c r="R134" s="278">
        <v>313.68450999999999</v>
      </c>
      <c r="S134" s="278">
        <v>27129.276399999999</v>
      </c>
      <c r="U134" s="278">
        <v>17173.28528</v>
      </c>
      <c r="V134" s="278">
        <v>0</v>
      </c>
      <c r="W134" s="278">
        <v>0</v>
      </c>
      <c r="X134" s="278">
        <v>9955.9911199999988</v>
      </c>
      <c r="Y134" s="278">
        <v>-67.158389999999997</v>
      </c>
      <c r="Z134" s="278">
        <v>0</v>
      </c>
      <c r="AA134" s="278">
        <v>0</v>
      </c>
      <c r="AB134" s="278">
        <v>10023.149509999999</v>
      </c>
      <c r="AD134" s="278">
        <v>34221.424939999997</v>
      </c>
      <c r="AE134" s="157">
        <v>24511.38553</v>
      </c>
      <c r="AF134" s="184">
        <v>-2617.8908700000002</v>
      </c>
      <c r="AG134" s="278">
        <v>-31227.821949999998</v>
      </c>
      <c r="AH134" s="278">
        <v>1857.87274</v>
      </c>
      <c r="AI134" s="184">
        <v>3496.6151</v>
      </c>
      <c r="AJ134" s="278">
        <v>17910.009989999999</v>
      </c>
      <c r="AL134" s="278">
        <v>179685.70137</v>
      </c>
      <c r="AM134" s="184">
        <v>144.94159999999999</v>
      </c>
      <c r="AN134" s="278">
        <v>-13508.57525</v>
      </c>
      <c r="AO134" s="355">
        <v>45645</v>
      </c>
      <c r="AP134" s="344">
        <v>7.8600000000000021</v>
      </c>
      <c r="AQ134" s="462"/>
      <c r="AS134" s="469">
        <v>39660.506710000001</v>
      </c>
      <c r="AT134" s="278">
        <v>153366.69365</v>
      </c>
      <c r="AU134" s="464"/>
      <c r="AV134" s="346">
        <v>90052.247659999994</v>
      </c>
      <c r="AW134" s="346">
        <v>9866.3743100000011</v>
      </c>
      <c r="AX134" s="346">
        <v>14884.73198</v>
      </c>
      <c r="AY134" s="346">
        <v>114803.35395</v>
      </c>
      <c r="AZ134" s="346">
        <v>32760.131879999997</v>
      </c>
      <c r="BA134" s="278">
        <v>857.96393</v>
      </c>
      <c r="BB134" s="345">
        <v>3141.5563299999999</v>
      </c>
      <c r="BC134" s="278">
        <v>439.33566999999999</v>
      </c>
      <c r="BD134" s="278">
        <v>128.82628</v>
      </c>
      <c r="BE134" s="346">
        <v>32122.246329999998</v>
      </c>
      <c r="BG134" s="343">
        <v>17688.733130000001</v>
      </c>
      <c r="BH134" s="343">
        <v>0</v>
      </c>
      <c r="BI134" s="343">
        <v>0</v>
      </c>
      <c r="BJ134" s="346">
        <v>14433.513199999999</v>
      </c>
      <c r="BK134" s="346">
        <v>-67.158389999999997</v>
      </c>
      <c r="BL134" s="346">
        <v>0</v>
      </c>
      <c r="BM134" s="343">
        <v>0</v>
      </c>
      <c r="BN134" s="346">
        <v>14500.67159</v>
      </c>
      <c r="BP134" s="346">
        <v>48722.096529999995</v>
      </c>
      <c r="BQ134" s="318">
        <v>33357.955110000003</v>
      </c>
      <c r="BR134" s="278">
        <v>1235.7087799999999</v>
      </c>
      <c r="BS134" s="475">
        <v>-36814.609600000003</v>
      </c>
      <c r="BT134" s="278">
        <v>638.9</v>
      </c>
      <c r="BU134" s="278">
        <v>596.3777</v>
      </c>
      <c r="BV134" s="345">
        <v>12835.099330000001</v>
      </c>
      <c r="BX134" s="278">
        <v>184014.99906000003</v>
      </c>
      <c r="BY134" s="483">
        <v>175.24458999999999</v>
      </c>
      <c r="BZ134" s="483">
        <v>4329.2976900000003</v>
      </c>
      <c r="CA134" s="260"/>
      <c r="CB134" s="347">
        <v>7.9</v>
      </c>
      <c r="CC134" s="486">
        <f t="shared" si="2"/>
        <v>7.9</v>
      </c>
      <c r="CD134" s="287"/>
      <c r="CE134" s="278"/>
      <c r="CF134" s="268"/>
      <c r="CI134" s="158">
        <v>0</v>
      </c>
      <c r="CJ134" s="343">
        <v>28654.935898092437</v>
      </c>
      <c r="CK134" s="343">
        <v>30201.170727695433</v>
      </c>
      <c r="CL134" s="343">
        <v>29625.187296810614</v>
      </c>
      <c r="CM134" s="487">
        <v>28953.910572042925</v>
      </c>
      <c r="CN134" s="487">
        <v>31337.228018463262</v>
      </c>
      <c r="CO134" s="495">
        <v>-706.53399999999999</v>
      </c>
      <c r="CP134" s="299"/>
      <c r="CQ134" s="489">
        <v>167.35210000000001</v>
      </c>
      <c r="CR134" s="489">
        <v>238.03045</v>
      </c>
    </row>
    <row r="135" spans="1:96" x14ac:dyDescent="0.2">
      <c r="A135" s="154">
        <v>430</v>
      </c>
      <c r="B135" s="156" t="s">
        <v>165</v>
      </c>
      <c r="C135" s="337">
        <v>15392</v>
      </c>
      <c r="D135" s="276">
        <v>21</v>
      </c>
      <c r="E135" s="185"/>
      <c r="G135" s="278">
        <v>17909.533359999998</v>
      </c>
      <c r="H135" s="278">
        <v>121238.72159999999</v>
      </c>
      <c r="I135" s="278"/>
      <c r="J135" s="278">
        <v>50119.924159999995</v>
      </c>
      <c r="K135" s="278">
        <v>6047.4611299999997</v>
      </c>
      <c r="L135" s="278">
        <v>4409.4846900000002</v>
      </c>
      <c r="M135" s="278">
        <v>60576.869979999996</v>
      </c>
      <c r="N135" s="278">
        <v>48710.148000000001</v>
      </c>
      <c r="O135" s="278">
        <v>0</v>
      </c>
      <c r="P135" s="278">
        <v>135.91042000000002</v>
      </c>
      <c r="Q135" s="278">
        <v>353.60791999999998</v>
      </c>
      <c r="R135" s="278">
        <v>25.841939999999997</v>
      </c>
      <c r="S135" s="278">
        <v>6149.6853000000001</v>
      </c>
      <c r="U135" s="278">
        <v>4359.2259400000003</v>
      </c>
      <c r="V135" s="278">
        <v>0</v>
      </c>
      <c r="W135" s="278">
        <v>0</v>
      </c>
      <c r="X135" s="278">
        <v>1790.4593600000001</v>
      </c>
      <c r="Y135" s="278">
        <v>-53.712940000000003</v>
      </c>
      <c r="Z135" s="278">
        <v>0</v>
      </c>
      <c r="AA135" s="278">
        <v>0</v>
      </c>
      <c r="AB135" s="278">
        <v>1844.1723</v>
      </c>
      <c r="AD135" s="278">
        <v>4368.0306900000005</v>
      </c>
      <c r="AE135" s="157">
        <v>6028.2395700000006</v>
      </c>
      <c r="AF135" s="184">
        <v>-121.44573</v>
      </c>
      <c r="AG135" s="278">
        <v>-3285.9591800000003</v>
      </c>
      <c r="AH135" s="278">
        <v>0</v>
      </c>
      <c r="AI135" s="184">
        <v>156.33799999999999</v>
      </c>
      <c r="AJ135" s="278">
        <v>8535.0868800000007</v>
      </c>
      <c r="AL135" s="278">
        <v>31446.186000000002</v>
      </c>
      <c r="AM135" s="184">
        <v>-39.436300000000003</v>
      </c>
      <c r="AN135" s="278">
        <v>-959.97729000000004</v>
      </c>
      <c r="AO135" s="355">
        <v>15420</v>
      </c>
      <c r="AP135" s="344">
        <v>8.36</v>
      </c>
      <c r="AQ135" s="462"/>
      <c r="AS135" s="469">
        <v>11393.640210000001</v>
      </c>
      <c r="AT135" s="278">
        <v>46988.72378</v>
      </c>
      <c r="AU135" s="464"/>
      <c r="AV135" s="346">
        <v>25117.435579999998</v>
      </c>
      <c r="AW135" s="346">
        <v>4047.0203799999999</v>
      </c>
      <c r="AX135" s="346">
        <v>4433.9295599999996</v>
      </c>
      <c r="AY135" s="346">
        <v>33598.385520000003</v>
      </c>
      <c r="AZ135" s="346">
        <v>10288.226000000001</v>
      </c>
      <c r="BA135" s="278">
        <v>12.173020000000001</v>
      </c>
      <c r="BB135" s="345">
        <v>622.79474000000005</v>
      </c>
      <c r="BC135" s="278">
        <v>253.38300000000001</v>
      </c>
      <c r="BD135" s="278">
        <v>10.683860000000001</v>
      </c>
      <c r="BE135" s="346">
        <v>7923.6053700000002</v>
      </c>
      <c r="BG135" s="343">
        <v>4428.1622300000008</v>
      </c>
      <c r="BH135" s="343">
        <v>0</v>
      </c>
      <c r="BI135" s="343">
        <v>0</v>
      </c>
      <c r="BJ135" s="346">
        <v>3495.4431400000003</v>
      </c>
      <c r="BK135" s="346">
        <v>-51.749019999999994</v>
      </c>
      <c r="BL135" s="343">
        <v>0</v>
      </c>
      <c r="BM135" s="343">
        <v>0</v>
      </c>
      <c r="BN135" s="346">
        <v>3547.1921600000001</v>
      </c>
      <c r="BP135" s="346">
        <v>7834.0090500000006</v>
      </c>
      <c r="BQ135" s="318">
        <v>7862.8803099999996</v>
      </c>
      <c r="BR135" s="278">
        <v>-60.725059999999999</v>
      </c>
      <c r="BS135" s="475">
        <v>-5210.12637</v>
      </c>
      <c r="BT135" s="278">
        <v>0</v>
      </c>
      <c r="BU135" s="278">
        <v>94.978070000000002</v>
      </c>
      <c r="BV135" s="345">
        <v>3095.6185299999997</v>
      </c>
      <c r="BX135" s="278">
        <v>24575.008000000002</v>
      </c>
      <c r="BY135" s="483">
        <v>-45.49485</v>
      </c>
      <c r="BZ135" s="483">
        <v>-6871.1779999999999</v>
      </c>
      <c r="CA135" s="260"/>
      <c r="CB135" s="347">
        <v>8.4</v>
      </c>
      <c r="CC135" s="486">
        <f t="shared" si="2"/>
        <v>8.4</v>
      </c>
      <c r="CD135" s="287"/>
      <c r="CE135" s="278"/>
      <c r="CF135" s="268"/>
      <c r="CI135" s="158">
        <v>0</v>
      </c>
      <c r="CJ135" s="343">
        <v>9706.0589164092817</v>
      </c>
      <c r="CK135" s="343">
        <v>10847.871166433561</v>
      </c>
      <c r="CL135" s="343">
        <v>11205.6846461082</v>
      </c>
      <c r="CM135" s="487">
        <v>11385.561759992066</v>
      </c>
      <c r="CN135" s="487">
        <v>12956.965317757431</v>
      </c>
      <c r="CO135" s="495">
        <v>-1882.481</v>
      </c>
      <c r="CP135" s="299"/>
      <c r="CQ135" s="489">
        <v>0</v>
      </c>
      <c r="CR135" s="489">
        <v>0</v>
      </c>
    </row>
    <row r="136" spans="1:96" x14ac:dyDescent="0.2">
      <c r="A136" s="154">
        <v>433</v>
      </c>
      <c r="B136" s="156" t="s">
        <v>166</v>
      </c>
      <c r="C136" s="337">
        <v>7749</v>
      </c>
      <c r="D136" s="276">
        <v>21.5</v>
      </c>
      <c r="E136" s="185"/>
      <c r="G136" s="278">
        <v>6121.4926699999996</v>
      </c>
      <c r="H136" s="278">
        <v>56181.38624</v>
      </c>
      <c r="I136" s="278"/>
      <c r="J136" s="278">
        <v>28851.827390000002</v>
      </c>
      <c r="K136" s="278">
        <v>2818.0725499999999</v>
      </c>
      <c r="L136" s="278">
        <v>2106.0383099999999</v>
      </c>
      <c r="M136" s="278">
        <v>33775.938249999999</v>
      </c>
      <c r="N136" s="278">
        <v>18681.047999999999</v>
      </c>
      <c r="O136" s="278">
        <v>17.229970000000002</v>
      </c>
      <c r="P136" s="278">
        <v>257.83116999999999</v>
      </c>
      <c r="Q136" s="278">
        <v>45.385179999999998</v>
      </c>
      <c r="R136" s="278">
        <v>7.76091</v>
      </c>
      <c r="S136" s="278">
        <v>2233.6542599999998</v>
      </c>
      <c r="U136" s="278">
        <v>2118.3461499999999</v>
      </c>
      <c r="V136" s="278">
        <v>0</v>
      </c>
      <c r="W136" s="278">
        <v>0</v>
      </c>
      <c r="X136" s="278">
        <v>115.30811</v>
      </c>
      <c r="Y136" s="278">
        <v>0</v>
      </c>
      <c r="Z136" s="278">
        <v>0</v>
      </c>
      <c r="AA136" s="278">
        <v>0</v>
      </c>
      <c r="AB136" s="278">
        <v>115.30811</v>
      </c>
      <c r="AD136" s="278">
        <v>18269.507439999998</v>
      </c>
      <c r="AE136" s="157">
        <v>2073.62916</v>
      </c>
      <c r="AF136" s="184">
        <v>-160.02510000000001</v>
      </c>
      <c r="AG136" s="278">
        <v>-6895.9001500000004</v>
      </c>
      <c r="AH136" s="278">
        <v>602.70590000000004</v>
      </c>
      <c r="AI136" s="184">
        <v>287.13299999999998</v>
      </c>
      <c r="AJ136" s="278">
        <v>4581.2329300000001</v>
      </c>
      <c r="AL136" s="278">
        <v>15896.874999999998</v>
      </c>
      <c r="AM136" s="184">
        <v>0</v>
      </c>
      <c r="AN136" s="278">
        <v>335.16326000000004</v>
      </c>
      <c r="AO136" s="355">
        <v>7692</v>
      </c>
      <c r="AP136" s="344">
        <v>8.86</v>
      </c>
      <c r="AQ136" s="462"/>
      <c r="AS136" s="469">
        <v>5078.1170599999996</v>
      </c>
      <c r="AT136" s="278">
        <v>26284.063460000001</v>
      </c>
      <c r="AU136" s="464"/>
      <c r="AV136" s="346">
        <v>14529.67578</v>
      </c>
      <c r="AW136" s="346">
        <v>1830.3399099999999</v>
      </c>
      <c r="AX136" s="346">
        <v>2203.1846499999997</v>
      </c>
      <c r="AY136" s="346">
        <v>18563.200339999999</v>
      </c>
      <c r="AZ136" s="346">
        <v>6308.5709999999999</v>
      </c>
      <c r="BA136" s="278">
        <v>104.69689</v>
      </c>
      <c r="BB136" s="345">
        <v>516.01237000000003</v>
      </c>
      <c r="BC136" s="278">
        <v>28.88653</v>
      </c>
      <c r="BD136" s="278">
        <v>1.9335100000000001</v>
      </c>
      <c r="BE136" s="346">
        <v>3317.8369199999997</v>
      </c>
      <c r="BG136" s="343">
        <v>2317.1611800000001</v>
      </c>
      <c r="BH136" s="343">
        <v>0</v>
      </c>
      <c r="BI136" s="343">
        <v>536.92856000000006</v>
      </c>
      <c r="BJ136" s="346">
        <v>463.74718000000001</v>
      </c>
      <c r="BK136" s="343">
        <v>0</v>
      </c>
      <c r="BL136" s="343">
        <v>0</v>
      </c>
      <c r="BM136" s="343">
        <v>0</v>
      </c>
      <c r="BN136" s="346">
        <v>463.74718000000001</v>
      </c>
      <c r="BP136" s="346">
        <v>17194.623319999999</v>
      </c>
      <c r="BQ136" s="318">
        <v>2506.0478199999998</v>
      </c>
      <c r="BR136" s="278">
        <v>-274.86053999999996</v>
      </c>
      <c r="BS136" s="475">
        <v>-6285.02945</v>
      </c>
      <c r="BT136" s="278">
        <v>437.83550000000002</v>
      </c>
      <c r="BU136" s="278">
        <v>2086.0505699999999</v>
      </c>
      <c r="BV136" s="345">
        <v>2355.6849900000002</v>
      </c>
      <c r="BX136" s="278">
        <v>17050</v>
      </c>
      <c r="BY136" s="483">
        <v>0</v>
      </c>
      <c r="BZ136" s="483">
        <v>1153.125</v>
      </c>
      <c r="CA136" s="260"/>
      <c r="CB136" s="347">
        <v>8.9</v>
      </c>
      <c r="CC136" s="486">
        <f t="shared" si="2"/>
        <v>8.9</v>
      </c>
      <c r="CD136" s="287"/>
      <c r="CE136" s="278"/>
      <c r="CF136" s="268"/>
      <c r="CI136" s="158">
        <v>0</v>
      </c>
      <c r="CJ136" s="343">
        <v>4971.7176428674793</v>
      </c>
      <c r="CK136" s="343">
        <v>4775.8495736090699</v>
      </c>
      <c r="CL136" s="343">
        <v>4680.8061304480725</v>
      </c>
      <c r="CM136" s="487">
        <v>4421.8001264111399</v>
      </c>
      <c r="CN136" s="487">
        <v>4960.3835716406538</v>
      </c>
      <c r="CO136" s="495">
        <v>-831.81100000000004</v>
      </c>
      <c r="CP136" s="299"/>
      <c r="CQ136" s="489">
        <v>39.538510000000002</v>
      </c>
      <c r="CR136" s="489">
        <v>36.37444</v>
      </c>
    </row>
    <row r="137" spans="1:96" x14ac:dyDescent="0.2">
      <c r="A137" s="271">
        <v>434</v>
      </c>
      <c r="B137" s="268" t="s">
        <v>167</v>
      </c>
      <c r="C137" s="337">
        <v>14568</v>
      </c>
      <c r="D137" s="276">
        <v>20.25</v>
      </c>
      <c r="E137" s="318"/>
      <c r="F137" s="268"/>
      <c r="G137" s="278">
        <v>24964.768649999998</v>
      </c>
      <c r="H137" s="278">
        <v>120048.91998999999</v>
      </c>
      <c r="I137" s="278"/>
      <c r="J137" s="278">
        <v>52307.472329999997</v>
      </c>
      <c r="K137" s="278">
        <v>8251.3879199999992</v>
      </c>
      <c r="L137" s="278">
        <v>8686.7324800000006</v>
      </c>
      <c r="M137" s="278">
        <v>69277.317260000011</v>
      </c>
      <c r="N137" s="278">
        <v>35273.553999999996</v>
      </c>
      <c r="O137" s="278">
        <v>18.22559</v>
      </c>
      <c r="P137" s="278">
        <v>268.13094000000001</v>
      </c>
      <c r="Q137" s="278">
        <v>861.072</v>
      </c>
      <c r="R137" s="278">
        <v>15.054530000000002</v>
      </c>
      <c r="S137" s="278">
        <v>10140.86004</v>
      </c>
      <c r="T137" s="268"/>
      <c r="U137" s="278">
        <v>7274.1180300000005</v>
      </c>
      <c r="V137" s="278">
        <v>0</v>
      </c>
      <c r="W137" s="278">
        <v>0</v>
      </c>
      <c r="X137" s="278">
        <v>2866.7420099999999</v>
      </c>
      <c r="Y137" s="278">
        <v>-440.83972</v>
      </c>
      <c r="Z137" s="278">
        <v>0</v>
      </c>
      <c r="AA137" s="278">
        <v>0</v>
      </c>
      <c r="AB137" s="278">
        <v>3307.5817299999999</v>
      </c>
      <c r="AC137" s="268"/>
      <c r="AD137" s="278">
        <v>14250.619409999999</v>
      </c>
      <c r="AE137" s="318">
        <v>8784.5164600000007</v>
      </c>
      <c r="AF137" s="278">
        <v>-1356.34358</v>
      </c>
      <c r="AG137" s="278">
        <v>-11806.72982</v>
      </c>
      <c r="AH137" s="278">
        <v>144.5</v>
      </c>
      <c r="AI137" s="278">
        <v>3740.31567</v>
      </c>
      <c r="AJ137" s="278">
        <v>9776.9918699999998</v>
      </c>
      <c r="AK137" s="268"/>
      <c r="AL137" s="278">
        <v>66594.950559999997</v>
      </c>
      <c r="AM137" s="278">
        <v>-199.52</v>
      </c>
      <c r="AN137" s="278">
        <v>-8900.7281999999996</v>
      </c>
      <c r="AO137" s="337">
        <v>14458</v>
      </c>
      <c r="AP137" s="344">
        <v>7.61</v>
      </c>
      <c r="AQ137" s="460"/>
      <c r="AS137" s="469">
        <v>18117.344079999999</v>
      </c>
      <c r="AT137" s="278">
        <v>61056.11363</v>
      </c>
      <c r="AU137" s="461"/>
      <c r="AV137" s="278">
        <v>25567.332280000002</v>
      </c>
      <c r="AW137" s="278">
        <v>6944.3939700000001</v>
      </c>
      <c r="AX137" s="278">
        <v>9100.3530900000005</v>
      </c>
      <c r="AY137" s="278">
        <v>41612.079340000004</v>
      </c>
      <c r="AZ137" s="278">
        <v>11119.394</v>
      </c>
      <c r="BA137" s="278">
        <v>78.492679999999993</v>
      </c>
      <c r="BB137" s="278">
        <v>1195.8896399999999</v>
      </c>
      <c r="BC137" s="278">
        <v>883.53291999999999</v>
      </c>
      <c r="BD137" s="278">
        <v>24.108640000000001</v>
      </c>
      <c r="BE137" s="278">
        <v>9534.7311099999988</v>
      </c>
      <c r="BG137" s="278">
        <v>7227.1991399999997</v>
      </c>
      <c r="BH137" s="278">
        <v>0</v>
      </c>
      <c r="BI137" s="278">
        <v>111.40949999999999</v>
      </c>
      <c r="BJ137" s="278">
        <v>2196.1224700000002</v>
      </c>
      <c r="BK137" s="278">
        <v>-228.65700000000001</v>
      </c>
      <c r="BL137" s="278">
        <v>0</v>
      </c>
      <c r="BM137" s="278">
        <v>0</v>
      </c>
      <c r="BN137" s="278">
        <v>2424.7794700000004</v>
      </c>
      <c r="BP137" s="278">
        <v>16675.398880000001</v>
      </c>
      <c r="BQ137" s="318">
        <v>10045.594070000001</v>
      </c>
      <c r="BR137" s="278">
        <v>622.27245999999991</v>
      </c>
      <c r="BS137" s="278">
        <v>-6065.5714200000002</v>
      </c>
      <c r="BT137" s="278">
        <v>0</v>
      </c>
      <c r="BU137" s="278">
        <v>2223.9665800000002</v>
      </c>
      <c r="BV137" s="278">
        <v>8770.009970000001</v>
      </c>
      <c r="BX137" s="278">
        <v>64226.688799999989</v>
      </c>
      <c r="BY137" s="483">
        <v>-5.4</v>
      </c>
      <c r="BZ137" s="483">
        <v>-2368.2617599999999</v>
      </c>
      <c r="CB137" s="347">
        <v>7.6</v>
      </c>
      <c r="CC137" s="486">
        <f t="shared" si="2"/>
        <v>7.6</v>
      </c>
      <c r="CD137" s="288"/>
      <c r="CE137" s="278"/>
      <c r="CF137" s="268"/>
      <c r="CG137" s="268"/>
      <c r="CH137" s="268"/>
      <c r="CI137" s="266">
        <v>0</v>
      </c>
      <c r="CJ137" s="343">
        <v>8663.4780920059384</v>
      </c>
      <c r="CK137" s="343">
        <v>8335.9947099693272</v>
      </c>
      <c r="CL137" s="343">
        <v>7858.7627184894991</v>
      </c>
      <c r="CM137" s="487">
        <v>7825.8909010609896</v>
      </c>
      <c r="CN137" s="487">
        <v>8371.2175945913405</v>
      </c>
      <c r="CO137" s="495">
        <v>-821.64499999999998</v>
      </c>
      <c r="CP137" s="299"/>
      <c r="CQ137" s="489">
        <v>78.028000000000006</v>
      </c>
      <c r="CR137" s="489">
        <v>0</v>
      </c>
    </row>
    <row r="138" spans="1:96" x14ac:dyDescent="0.2">
      <c r="A138" s="154">
        <v>435</v>
      </c>
      <c r="B138" s="156" t="s">
        <v>168</v>
      </c>
      <c r="C138" s="337">
        <v>692</v>
      </c>
      <c r="D138" s="276">
        <v>18.5</v>
      </c>
      <c r="E138" s="185"/>
      <c r="G138" s="278">
        <v>995.02148</v>
      </c>
      <c r="H138" s="278">
        <v>6418.5886300000002</v>
      </c>
      <c r="I138" s="278"/>
      <c r="J138" s="278">
        <v>2034.8474699999999</v>
      </c>
      <c r="K138" s="278">
        <v>464.14928999999995</v>
      </c>
      <c r="L138" s="278">
        <v>639.76953000000003</v>
      </c>
      <c r="M138" s="278">
        <v>3138.5925499999998</v>
      </c>
      <c r="N138" s="278">
        <v>2511.6489999999999</v>
      </c>
      <c r="O138" s="278">
        <v>3.3189999999999997E-2</v>
      </c>
      <c r="P138" s="278">
        <v>21.241250000000001</v>
      </c>
      <c r="Q138" s="278">
        <v>33.843599999999995</v>
      </c>
      <c r="R138" s="278">
        <v>4.7338699999999996</v>
      </c>
      <c r="S138" s="278">
        <v>234.57607000000002</v>
      </c>
      <c r="U138" s="278">
        <v>213.63135999999997</v>
      </c>
      <c r="V138" s="278">
        <v>32.717150000000004</v>
      </c>
      <c r="W138" s="278">
        <v>0</v>
      </c>
      <c r="X138" s="278">
        <v>53.661859999999997</v>
      </c>
      <c r="Y138" s="278">
        <v>0</v>
      </c>
      <c r="Z138" s="278">
        <v>0</v>
      </c>
      <c r="AA138" s="278">
        <v>0</v>
      </c>
      <c r="AB138" s="278">
        <v>53.661859999999997</v>
      </c>
      <c r="AD138" s="278">
        <v>2677.9987500000002</v>
      </c>
      <c r="AE138" s="157">
        <v>201.70582999999999</v>
      </c>
      <c r="AF138" s="184">
        <v>-65.587389999999999</v>
      </c>
      <c r="AG138" s="278">
        <v>-12.204459999999999</v>
      </c>
      <c r="AH138" s="278">
        <v>0</v>
      </c>
      <c r="AI138" s="184">
        <v>26.415389999999999</v>
      </c>
      <c r="AJ138" s="278">
        <v>2236.7750699999997</v>
      </c>
      <c r="AL138" s="278">
        <v>2494.087</v>
      </c>
      <c r="AM138" s="184">
        <v>-33.5</v>
      </c>
      <c r="AN138" s="278">
        <v>-200.69800000000001</v>
      </c>
      <c r="AO138" s="355">
        <v>702</v>
      </c>
      <c r="AP138" s="344">
        <v>5.86</v>
      </c>
      <c r="AQ138" s="462"/>
      <c r="AS138" s="469">
        <v>746.57641000000001</v>
      </c>
      <c r="AT138" s="278">
        <v>3298.4076800000003</v>
      </c>
      <c r="AU138" s="464"/>
      <c r="AV138" s="346">
        <v>912.80749000000003</v>
      </c>
      <c r="AW138" s="346">
        <v>259.59325000000001</v>
      </c>
      <c r="AX138" s="346">
        <v>647.11196999999993</v>
      </c>
      <c r="AY138" s="346">
        <v>1819.3385000000001</v>
      </c>
      <c r="AZ138" s="346">
        <v>677.21799999999996</v>
      </c>
      <c r="BA138" s="278">
        <v>0.105</v>
      </c>
      <c r="BB138" s="345">
        <v>60.841149999999999</v>
      </c>
      <c r="BC138" s="278">
        <v>30.976009999999999</v>
      </c>
      <c r="BD138" s="278">
        <v>1.4352100000000001</v>
      </c>
      <c r="BE138" s="346">
        <v>-86.470119999999994</v>
      </c>
      <c r="BG138" s="343">
        <v>187.51035999999999</v>
      </c>
      <c r="BH138" s="346">
        <v>23.720130000000001</v>
      </c>
      <c r="BI138" s="343">
        <v>0</v>
      </c>
      <c r="BJ138" s="346">
        <v>-250.26035000000002</v>
      </c>
      <c r="BK138" s="343">
        <v>0</v>
      </c>
      <c r="BL138" s="343">
        <v>0</v>
      </c>
      <c r="BM138" s="343">
        <v>0</v>
      </c>
      <c r="BN138" s="346">
        <v>-250.26035000000002</v>
      </c>
      <c r="BP138" s="346">
        <v>2427.7384100000004</v>
      </c>
      <c r="BQ138" s="318">
        <v>-79.165350000000004</v>
      </c>
      <c r="BR138" s="278">
        <v>-16.415369999999999</v>
      </c>
      <c r="BS138" s="475">
        <v>-68.251539999999991</v>
      </c>
      <c r="BT138" s="278">
        <v>0</v>
      </c>
      <c r="BU138" s="278">
        <v>38.1</v>
      </c>
      <c r="BV138" s="345">
        <v>1446.98371</v>
      </c>
      <c r="BX138" s="278">
        <v>2290.9449999999997</v>
      </c>
      <c r="BY138" s="483">
        <v>-1</v>
      </c>
      <c r="BZ138" s="483">
        <v>-203.14198999999999</v>
      </c>
      <c r="CA138" s="260"/>
      <c r="CB138" s="347">
        <v>6.4</v>
      </c>
      <c r="CC138" s="486">
        <f t="shared" si="2"/>
        <v>6.4</v>
      </c>
      <c r="CD138" s="287"/>
      <c r="CE138" s="278"/>
      <c r="CF138" s="268"/>
      <c r="CI138" s="158">
        <v>0</v>
      </c>
      <c r="CJ138" s="343">
        <v>807.12562760852018</v>
      </c>
      <c r="CK138" s="343">
        <v>970.94248503350195</v>
      </c>
      <c r="CL138" s="343">
        <v>982.78138993671723</v>
      </c>
      <c r="CM138" s="487">
        <v>977.27758277664498</v>
      </c>
      <c r="CN138" s="487">
        <v>1035.979793406199</v>
      </c>
      <c r="CO138" s="495">
        <v>-197.16399999999999</v>
      </c>
      <c r="CP138" s="299"/>
      <c r="CQ138" s="489">
        <v>0</v>
      </c>
      <c r="CR138" s="489">
        <v>0</v>
      </c>
    </row>
    <row r="139" spans="1:96" x14ac:dyDescent="0.2">
      <c r="A139" s="154">
        <v>436</v>
      </c>
      <c r="B139" s="156" t="s">
        <v>169</v>
      </c>
      <c r="C139" s="337">
        <v>1988</v>
      </c>
      <c r="D139" s="276">
        <v>21</v>
      </c>
      <c r="E139" s="185"/>
      <c r="G139" s="278">
        <v>1242.88121</v>
      </c>
      <c r="H139" s="278">
        <v>14844.389539999998</v>
      </c>
      <c r="I139" s="278"/>
      <c r="J139" s="278">
        <v>5735.3522899999998</v>
      </c>
      <c r="K139" s="278">
        <v>287.97415999999998</v>
      </c>
      <c r="L139" s="278">
        <v>326.25063</v>
      </c>
      <c r="M139" s="278">
        <v>6349.57708</v>
      </c>
      <c r="N139" s="278">
        <v>7058.2489999999998</v>
      </c>
      <c r="O139" s="278">
        <v>1.98563</v>
      </c>
      <c r="P139" s="278">
        <v>57.128050000000002</v>
      </c>
      <c r="Q139" s="278">
        <v>7.49207</v>
      </c>
      <c r="R139" s="278">
        <v>0.61251999999999995</v>
      </c>
      <c r="S139" s="278">
        <v>-241.94512</v>
      </c>
      <c r="U139" s="278">
        <v>673.83767</v>
      </c>
      <c r="V139" s="278">
        <v>0</v>
      </c>
      <c r="W139" s="278">
        <v>0</v>
      </c>
      <c r="X139" s="278">
        <v>-915.78279000000009</v>
      </c>
      <c r="Y139" s="278">
        <v>366.44807000000003</v>
      </c>
      <c r="Z139" s="278">
        <v>-450</v>
      </c>
      <c r="AA139" s="278">
        <v>0</v>
      </c>
      <c r="AB139" s="278">
        <v>-832.23086000000001</v>
      </c>
      <c r="AD139" s="278">
        <v>44.349979999999981</v>
      </c>
      <c r="AE139" s="157">
        <v>-240.65511999999998</v>
      </c>
      <c r="AF139" s="184">
        <v>1.29</v>
      </c>
      <c r="AG139" s="278">
        <v>-2834.0248500000002</v>
      </c>
      <c r="AH139" s="278">
        <v>238.27369000000002</v>
      </c>
      <c r="AI139" s="184">
        <v>37.774000000000001</v>
      </c>
      <c r="AJ139" s="278">
        <v>251.75296</v>
      </c>
      <c r="AL139" s="278">
        <v>6371.0479999999998</v>
      </c>
      <c r="AM139" s="184">
        <v>-8.1987999999999985</v>
      </c>
      <c r="AN139" s="278">
        <v>1209.7660000000001</v>
      </c>
      <c r="AO139" s="355">
        <v>2033</v>
      </c>
      <c r="AP139" s="344">
        <v>8.36</v>
      </c>
      <c r="AQ139" s="462"/>
      <c r="AS139" s="469">
        <v>1390.3066399999998</v>
      </c>
      <c r="AT139" s="278">
        <v>7949.9896600000002</v>
      </c>
      <c r="AU139" s="464"/>
      <c r="AV139" s="346">
        <v>3045.33628</v>
      </c>
      <c r="AW139" s="346">
        <v>194.52495000000002</v>
      </c>
      <c r="AX139" s="346">
        <v>322.94299999999998</v>
      </c>
      <c r="AY139" s="346">
        <v>3562.8042300000002</v>
      </c>
      <c r="AZ139" s="346">
        <v>4515.6049999999996</v>
      </c>
      <c r="BA139" s="278">
        <v>12.49807</v>
      </c>
      <c r="BB139" s="345">
        <v>264.27512000000002</v>
      </c>
      <c r="BC139" s="278">
        <v>3.4209800000000001</v>
      </c>
      <c r="BD139" s="278">
        <v>9.1590000000000005E-2</v>
      </c>
      <c r="BE139" s="346">
        <v>1270.27855</v>
      </c>
      <c r="BG139" s="343">
        <v>727.63860999999997</v>
      </c>
      <c r="BH139" s="343">
        <v>0</v>
      </c>
      <c r="BI139" s="343">
        <v>0</v>
      </c>
      <c r="BJ139" s="346">
        <v>542.63993999999991</v>
      </c>
      <c r="BK139" s="346">
        <v>263.87281999999999</v>
      </c>
      <c r="BL139" s="343">
        <v>-300</v>
      </c>
      <c r="BM139" s="343">
        <v>0</v>
      </c>
      <c r="BN139" s="346">
        <v>578.76711999999998</v>
      </c>
      <c r="BP139" s="346">
        <v>623.11709999999994</v>
      </c>
      <c r="BQ139" s="318">
        <v>1263.3098400000001</v>
      </c>
      <c r="BR139" s="278">
        <v>-6.9687099999999997</v>
      </c>
      <c r="BS139" s="475">
        <v>-1763.30322</v>
      </c>
      <c r="BT139" s="278">
        <v>0</v>
      </c>
      <c r="BU139" s="278">
        <v>8.52</v>
      </c>
      <c r="BV139" s="345">
        <v>901.19637</v>
      </c>
      <c r="BX139" s="278">
        <v>8218.3140000000003</v>
      </c>
      <c r="BY139" s="483">
        <v>0</v>
      </c>
      <c r="BZ139" s="483">
        <v>1847.2660000000001</v>
      </c>
      <c r="CA139" s="260"/>
      <c r="CB139" s="347">
        <v>8.9</v>
      </c>
      <c r="CC139" s="486">
        <f t="shared" si="2"/>
        <v>8.9</v>
      </c>
      <c r="CD139" s="287"/>
      <c r="CE139" s="278"/>
      <c r="CF139" s="268"/>
      <c r="CI139" s="158">
        <v>0</v>
      </c>
      <c r="CJ139" s="343">
        <v>3249.8911856593654</v>
      </c>
      <c r="CK139" s="343">
        <v>3436.8131946211015</v>
      </c>
      <c r="CL139" s="343">
        <v>4062.8605475719651</v>
      </c>
      <c r="CM139" s="487">
        <v>4110.1334107183457</v>
      </c>
      <c r="CN139" s="487">
        <v>4334.7009327494388</v>
      </c>
      <c r="CO139" s="495">
        <v>-332.55</v>
      </c>
      <c r="CP139" s="299"/>
      <c r="CQ139" s="489">
        <v>0</v>
      </c>
      <c r="CR139" s="489">
        <v>0</v>
      </c>
    </row>
    <row r="140" spans="1:96" x14ac:dyDescent="0.2">
      <c r="A140" s="154">
        <v>440</v>
      </c>
      <c r="B140" s="156" t="s">
        <v>170</v>
      </c>
      <c r="C140" s="337">
        <v>5732</v>
      </c>
      <c r="D140" s="276">
        <v>20</v>
      </c>
      <c r="E140" s="185"/>
      <c r="G140" s="278">
        <v>3973.7935699999998</v>
      </c>
      <c r="H140" s="278">
        <v>37895.256130000002</v>
      </c>
      <c r="I140" s="278"/>
      <c r="J140" s="278">
        <v>17507.958770000001</v>
      </c>
      <c r="K140" s="278">
        <v>695.22334000000001</v>
      </c>
      <c r="L140" s="278">
        <v>1462.02451</v>
      </c>
      <c r="M140" s="278">
        <v>19665.206620000001</v>
      </c>
      <c r="N140" s="278">
        <v>16502.153999999999</v>
      </c>
      <c r="O140" s="278">
        <v>116.03773</v>
      </c>
      <c r="P140" s="278">
        <v>46.606120000000004</v>
      </c>
      <c r="Q140" s="278">
        <v>1085.0629799999999</v>
      </c>
      <c r="R140" s="278">
        <v>455.45285999999999</v>
      </c>
      <c r="S140" s="278">
        <v>2944.9397899999999</v>
      </c>
      <c r="U140" s="278">
        <v>1406.4635000000001</v>
      </c>
      <c r="V140" s="278">
        <v>0</v>
      </c>
      <c r="W140" s="278">
        <v>0</v>
      </c>
      <c r="X140" s="278">
        <v>1538.4762900000001</v>
      </c>
      <c r="Y140" s="278">
        <v>0</v>
      </c>
      <c r="Z140" s="278">
        <v>0</v>
      </c>
      <c r="AA140" s="278">
        <v>2.0083599999999997</v>
      </c>
      <c r="AB140" s="278">
        <v>1536.46793</v>
      </c>
      <c r="AD140" s="278">
        <v>19678.96631</v>
      </c>
      <c r="AE140" s="157">
        <v>2142.2982400000001</v>
      </c>
      <c r="AF140" s="184">
        <v>-802.64155000000005</v>
      </c>
      <c r="AG140" s="278">
        <v>-3758.00531</v>
      </c>
      <c r="AH140" s="278">
        <v>152.25</v>
      </c>
      <c r="AI140" s="184">
        <v>124.649</v>
      </c>
      <c r="AJ140" s="278">
        <v>10956.836210000001</v>
      </c>
      <c r="AL140" s="278">
        <v>22500</v>
      </c>
      <c r="AM140" s="184">
        <v>0</v>
      </c>
      <c r="AN140" s="278">
        <v>-3000</v>
      </c>
      <c r="AO140" s="355">
        <v>5843</v>
      </c>
      <c r="AP140" s="344">
        <v>7.3599999999999994</v>
      </c>
      <c r="AQ140" s="462"/>
      <c r="AS140" s="469">
        <v>3019.7474200000001</v>
      </c>
      <c r="AT140" s="278">
        <v>21248.509239999999</v>
      </c>
      <c r="AU140" s="464"/>
      <c r="AV140" s="346">
        <v>8251.3615300000001</v>
      </c>
      <c r="AW140" s="346">
        <v>483.07544000000001</v>
      </c>
      <c r="AX140" s="346">
        <v>1559.13986</v>
      </c>
      <c r="AY140" s="346">
        <v>10293.57683</v>
      </c>
      <c r="AZ140" s="346">
        <v>9918.57</v>
      </c>
      <c r="BA140" s="278">
        <v>196.82935999999998</v>
      </c>
      <c r="BB140" s="345">
        <v>903.53008</v>
      </c>
      <c r="BC140" s="278">
        <v>494.93077</v>
      </c>
      <c r="BD140" s="278">
        <v>327.18644</v>
      </c>
      <c r="BE140" s="346">
        <v>1444.4286200000001</v>
      </c>
      <c r="BG140" s="343">
        <v>1431.7189699999999</v>
      </c>
      <c r="BH140" s="346">
        <v>0</v>
      </c>
      <c r="BI140" s="343">
        <v>0</v>
      </c>
      <c r="BJ140" s="346">
        <v>12.70965</v>
      </c>
      <c r="BK140" s="346">
        <v>0</v>
      </c>
      <c r="BL140" s="346">
        <v>0</v>
      </c>
      <c r="BM140" s="343">
        <v>1.2422299999999999</v>
      </c>
      <c r="BN140" s="346">
        <v>11.467420000000001</v>
      </c>
      <c r="BP140" s="346">
        <v>19637.82991</v>
      </c>
      <c r="BQ140" s="318">
        <v>1386.3568600000001</v>
      </c>
      <c r="BR140" s="278">
        <v>-58.071760000000005</v>
      </c>
      <c r="BS140" s="475">
        <v>-8217.8479900000002</v>
      </c>
      <c r="BT140" s="278">
        <v>478.06799999999998</v>
      </c>
      <c r="BU140" s="278">
        <v>79.796000000000006</v>
      </c>
      <c r="BV140" s="345">
        <v>10550.16516</v>
      </c>
      <c r="BX140" s="278">
        <v>31200</v>
      </c>
      <c r="BY140" s="483">
        <v>0</v>
      </c>
      <c r="BZ140" s="483">
        <v>8700</v>
      </c>
      <c r="CA140" s="260"/>
      <c r="CB140" s="347">
        <v>8.3000000000000007</v>
      </c>
      <c r="CC140" s="486">
        <f t="shared" si="2"/>
        <v>8.3000000000000007</v>
      </c>
      <c r="CD140" s="287"/>
      <c r="CE140" s="278"/>
      <c r="CF140" s="268"/>
      <c r="CI140" s="158">
        <v>0</v>
      </c>
      <c r="CJ140" s="343">
        <v>10276.103481126249</v>
      </c>
      <c r="CK140" s="343">
        <v>11042.191600028122</v>
      </c>
      <c r="CL140" s="343">
        <v>11234.960560378911</v>
      </c>
      <c r="CM140" s="487">
        <v>11873.869981692598</v>
      </c>
      <c r="CN140" s="487">
        <v>12639.878637898975</v>
      </c>
      <c r="CO140" s="495">
        <v>-1562.777</v>
      </c>
      <c r="CP140" s="299"/>
      <c r="CQ140" s="489">
        <v>0</v>
      </c>
      <c r="CR140" s="489">
        <v>0</v>
      </c>
    </row>
    <row r="141" spans="1:96" ht="12.75" x14ac:dyDescent="0.2">
      <c r="A141" s="154">
        <v>441</v>
      </c>
      <c r="B141" s="156" t="s">
        <v>171</v>
      </c>
      <c r="C141" s="337">
        <v>4421</v>
      </c>
      <c r="D141" s="276">
        <v>21</v>
      </c>
      <c r="E141" s="185"/>
      <c r="G141" s="278">
        <v>3205.6557000000003</v>
      </c>
      <c r="H141" s="278">
        <v>36135.065119999999</v>
      </c>
      <c r="I141" s="278"/>
      <c r="J141" s="278">
        <v>14479.666300000001</v>
      </c>
      <c r="K141" s="278">
        <v>2658.0423500000002</v>
      </c>
      <c r="L141" s="278">
        <v>1685.7402500000001</v>
      </c>
      <c r="M141" s="278">
        <v>18823.448899999999</v>
      </c>
      <c r="N141" s="278">
        <v>13872.38</v>
      </c>
      <c r="O141" s="278">
        <v>330.51884000000001</v>
      </c>
      <c r="P141" s="278">
        <v>38.509819999999998</v>
      </c>
      <c r="Q141" s="278">
        <v>410.89335</v>
      </c>
      <c r="R141" s="278">
        <v>305.03467999999998</v>
      </c>
      <c r="S141" s="278">
        <v>164.28717</v>
      </c>
      <c r="U141" s="278">
        <v>1801.07205</v>
      </c>
      <c r="V141" s="278">
        <v>0</v>
      </c>
      <c r="W141" s="278">
        <v>0</v>
      </c>
      <c r="X141" s="278">
        <v>-1636.7848799999999</v>
      </c>
      <c r="Y141" s="278">
        <v>-637.62257</v>
      </c>
      <c r="Z141" s="278">
        <v>0</v>
      </c>
      <c r="AA141" s="278">
        <v>0</v>
      </c>
      <c r="AB141" s="278">
        <v>-999.16231000000005</v>
      </c>
      <c r="AD141" s="278">
        <v>13208.669729999998</v>
      </c>
      <c r="AE141" s="157">
        <v>159.71352999999999</v>
      </c>
      <c r="AF141" s="184">
        <v>-4.5736400000000001</v>
      </c>
      <c r="AG141" s="278">
        <v>-1056.5177900000001</v>
      </c>
      <c r="AH141" s="278">
        <v>95.903000000000006</v>
      </c>
      <c r="AI141" s="184">
        <v>209.92322000000001</v>
      </c>
      <c r="AJ141" s="278">
        <v>12593.948619999999</v>
      </c>
      <c r="AL141" s="278">
        <v>3803.8160999999996</v>
      </c>
      <c r="AM141" s="184">
        <v>63.146000000000001</v>
      </c>
      <c r="AN141" s="278">
        <v>-168.63444000000001</v>
      </c>
      <c r="AO141" s="355">
        <v>4396</v>
      </c>
      <c r="AP141" s="344">
        <v>8.36</v>
      </c>
      <c r="AQ141" s="462"/>
      <c r="AS141" s="469">
        <v>3568.5508799999998</v>
      </c>
      <c r="AT141" s="278">
        <v>14132.572880000002</v>
      </c>
      <c r="AU141" s="464"/>
      <c r="AV141" s="346">
        <v>7044.3634499999998</v>
      </c>
      <c r="AW141" s="346">
        <v>1534.2720400000001</v>
      </c>
      <c r="AX141" s="346">
        <v>1711.91365</v>
      </c>
      <c r="AY141" s="346">
        <v>10290.549140000001</v>
      </c>
      <c r="AZ141" s="346">
        <v>789.99900000000002</v>
      </c>
      <c r="BA141" s="278">
        <v>392.23894999999999</v>
      </c>
      <c r="BB141" s="472">
        <v>95.943479999999994</v>
      </c>
      <c r="BC141" s="278">
        <v>262.61174999999997</v>
      </c>
      <c r="BD141" s="278">
        <v>48.063679999999998</v>
      </c>
      <c r="BE141" s="346">
        <v>1027.36968</v>
      </c>
      <c r="BG141" s="343">
        <v>1741.5141999999998</v>
      </c>
      <c r="BH141" s="343">
        <v>0</v>
      </c>
      <c r="BI141" s="343">
        <v>0</v>
      </c>
      <c r="BJ141" s="346">
        <v>-714.14452000000006</v>
      </c>
      <c r="BK141" s="343">
        <v>-627.32668999999999</v>
      </c>
      <c r="BL141" s="343">
        <v>0</v>
      </c>
      <c r="BM141" s="343">
        <v>0</v>
      </c>
      <c r="BN141" s="346">
        <v>-86.817830000000001</v>
      </c>
      <c r="BP141" s="346">
        <v>13121.8519</v>
      </c>
      <c r="BQ141" s="318">
        <v>879.25966000000005</v>
      </c>
      <c r="BR141" s="278">
        <v>-148.11001999999999</v>
      </c>
      <c r="BS141" s="475">
        <v>-1841.1414499999998</v>
      </c>
      <c r="BT141" s="278">
        <v>38.299999999999997</v>
      </c>
      <c r="BU141" s="278">
        <v>237.16547</v>
      </c>
      <c r="BV141" s="345">
        <v>10597.62464</v>
      </c>
      <c r="BX141" s="278">
        <v>3635.1816600000002</v>
      </c>
      <c r="BY141" s="483">
        <v>0</v>
      </c>
      <c r="BZ141" s="483">
        <v>-168.63444000000001</v>
      </c>
      <c r="CA141" s="260"/>
      <c r="CB141" s="347">
        <v>8.8000000000000007</v>
      </c>
      <c r="CC141" s="486">
        <f t="shared" si="2"/>
        <v>8.8000000000000007</v>
      </c>
      <c r="CD141" s="287"/>
      <c r="CE141" s="278"/>
      <c r="CF141" s="268"/>
      <c r="CI141" s="158">
        <v>0</v>
      </c>
      <c r="CJ141" s="343">
        <v>817.34964157463037</v>
      </c>
      <c r="CK141" s="343">
        <v>1399.157726806063</v>
      </c>
      <c r="CL141" s="343">
        <v>1583.6887251137655</v>
      </c>
      <c r="CM141" s="487">
        <v>1698.0031034681267</v>
      </c>
      <c r="CN141" s="487">
        <v>2087.8163579571774</v>
      </c>
      <c r="CO141" s="495">
        <v>-275.05</v>
      </c>
      <c r="CP141" s="299"/>
      <c r="CQ141" s="489">
        <v>0</v>
      </c>
      <c r="CR141" s="489">
        <v>0</v>
      </c>
    </row>
    <row r="142" spans="1:96" x14ac:dyDescent="0.2">
      <c r="A142" s="154">
        <v>475</v>
      </c>
      <c r="B142" s="156" t="s">
        <v>172</v>
      </c>
      <c r="C142" s="337">
        <v>5479</v>
      </c>
      <c r="D142" s="276">
        <v>21.499999999999996</v>
      </c>
      <c r="E142" s="185"/>
      <c r="G142" s="278">
        <v>8033.3617800000002</v>
      </c>
      <c r="H142" s="278">
        <v>48390.973270000002</v>
      </c>
      <c r="I142" s="278"/>
      <c r="J142" s="278">
        <v>19884.658350000002</v>
      </c>
      <c r="K142" s="278">
        <v>1985.0405900000001</v>
      </c>
      <c r="L142" s="278">
        <v>2128.5820899999999</v>
      </c>
      <c r="M142" s="278">
        <v>23998.281030000002</v>
      </c>
      <c r="N142" s="278">
        <v>19366.695</v>
      </c>
      <c r="O142" s="278">
        <v>11.79236</v>
      </c>
      <c r="P142" s="278">
        <v>155.95076</v>
      </c>
      <c r="Q142" s="278">
        <v>70.082580000000007</v>
      </c>
      <c r="R142" s="278">
        <v>6.5565699999999998</v>
      </c>
      <c r="S142" s="278">
        <v>2948.6822099999999</v>
      </c>
      <c r="U142" s="278">
        <v>2297.9837400000001</v>
      </c>
      <c r="V142" s="278">
        <v>0</v>
      </c>
      <c r="W142" s="278">
        <v>0</v>
      </c>
      <c r="X142" s="278">
        <v>650.69846999999993</v>
      </c>
      <c r="Y142" s="278">
        <v>-28</v>
      </c>
      <c r="Z142" s="278">
        <v>500</v>
      </c>
      <c r="AA142" s="278">
        <v>0</v>
      </c>
      <c r="AB142" s="278">
        <v>178.88254000000001</v>
      </c>
      <c r="AD142" s="278">
        <v>5838.9022800000002</v>
      </c>
      <c r="AE142" s="157">
        <v>2747.3351899999998</v>
      </c>
      <c r="AF142" s="184">
        <v>-201.53109000000001</v>
      </c>
      <c r="AG142" s="278">
        <v>-3947.3887999999997</v>
      </c>
      <c r="AH142" s="278">
        <v>133.50895</v>
      </c>
      <c r="AI142" s="184">
        <v>400.07837000000001</v>
      </c>
      <c r="AJ142" s="278">
        <v>1527.3614399999999</v>
      </c>
      <c r="AL142" s="278">
        <v>26558.612799999995</v>
      </c>
      <c r="AM142" s="184">
        <v>-348.22546</v>
      </c>
      <c r="AN142" s="278">
        <v>-2779.7502400000003</v>
      </c>
      <c r="AO142" s="355">
        <v>5456</v>
      </c>
      <c r="AP142" s="344">
        <v>8.86</v>
      </c>
      <c r="AQ142" s="462"/>
      <c r="AS142" s="469">
        <v>6814.1151600000003</v>
      </c>
      <c r="AT142" s="278">
        <v>21946.192260000003</v>
      </c>
      <c r="AU142" s="464"/>
      <c r="AV142" s="346">
        <v>9951.5494299999991</v>
      </c>
      <c r="AW142" s="346">
        <v>1359.93236</v>
      </c>
      <c r="AX142" s="346">
        <v>2489.0810200000001</v>
      </c>
      <c r="AY142" s="346">
        <v>13800.562810000001</v>
      </c>
      <c r="AZ142" s="346">
        <v>5635.9620000000004</v>
      </c>
      <c r="BA142" s="278">
        <v>47.941379999999995</v>
      </c>
      <c r="BB142" s="345">
        <v>548.41233</v>
      </c>
      <c r="BC142" s="278">
        <v>45.338080000000005</v>
      </c>
      <c r="BD142" s="278">
        <v>0.49924000000000002</v>
      </c>
      <c r="BE142" s="346">
        <v>3909.1041500000001</v>
      </c>
      <c r="BG142" s="343">
        <v>2359.4965899999997</v>
      </c>
      <c r="BH142" s="343">
        <v>0</v>
      </c>
      <c r="BI142" s="343">
        <v>0</v>
      </c>
      <c r="BJ142" s="346">
        <v>1549.6075600000001</v>
      </c>
      <c r="BK142" s="346">
        <v>-28</v>
      </c>
      <c r="BL142" s="346">
        <v>1300</v>
      </c>
      <c r="BM142" s="343">
        <v>0</v>
      </c>
      <c r="BN142" s="346">
        <v>277.60755999999998</v>
      </c>
      <c r="BP142" s="346">
        <v>6116.5098400000006</v>
      </c>
      <c r="BQ142" s="318">
        <v>3814.7358599999998</v>
      </c>
      <c r="BR142" s="278">
        <v>-94.368289999999988</v>
      </c>
      <c r="BS142" s="475">
        <v>-2279.88391</v>
      </c>
      <c r="BT142" s="278">
        <v>175.83375000000001</v>
      </c>
      <c r="BU142" s="278">
        <v>114.22482000000001</v>
      </c>
      <c r="BV142" s="345">
        <v>1990.06602</v>
      </c>
      <c r="BX142" s="278">
        <v>28083.682200000003</v>
      </c>
      <c r="BY142" s="483">
        <v>60.514000000000003</v>
      </c>
      <c r="BZ142" s="483">
        <v>1525.0693999999999</v>
      </c>
      <c r="CA142" s="260"/>
      <c r="CB142" s="347">
        <v>8.9</v>
      </c>
      <c r="CC142" s="486">
        <f t="shared" si="2"/>
        <v>8.9</v>
      </c>
      <c r="CD142" s="287"/>
      <c r="CE142" s="278"/>
      <c r="CF142" s="268"/>
      <c r="CI142" s="158">
        <v>0</v>
      </c>
      <c r="CJ142" s="343">
        <v>5517.0711249121405</v>
      </c>
      <c r="CK142" s="343">
        <v>5879.8903311403974</v>
      </c>
      <c r="CL142" s="343">
        <v>5604.2643094128043</v>
      </c>
      <c r="CM142" s="487">
        <v>5462.2023739723318</v>
      </c>
      <c r="CN142" s="487">
        <v>6001.1418501811168</v>
      </c>
      <c r="CO142" s="495">
        <v>-194.70699999999999</v>
      </c>
      <c r="CP142" s="299"/>
      <c r="CQ142" s="489">
        <v>21.950060000000001</v>
      </c>
      <c r="CR142" s="489">
        <v>60.288550000000001</v>
      </c>
    </row>
    <row r="143" spans="1:96" x14ac:dyDescent="0.2">
      <c r="A143" s="154">
        <v>480</v>
      </c>
      <c r="B143" s="156" t="s">
        <v>173</v>
      </c>
      <c r="C143" s="337">
        <v>1978</v>
      </c>
      <c r="D143" s="276">
        <v>20.75</v>
      </c>
      <c r="E143" s="185"/>
      <c r="G143" s="278">
        <v>2486.6928499999999</v>
      </c>
      <c r="H143" s="278">
        <v>14682.81106</v>
      </c>
      <c r="I143" s="278"/>
      <c r="J143" s="278">
        <v>6512.3044900000004</v>
      </c>
      <c r="K143" s="278">
        <v>482.21131000000003</v>
      </c>
      <c r="L143" s="278">
        <v>559.24165000000005</v>
      </c>
      <c r="M143" s="278">
        <v>7553.7574500000001</v>
      </c>
      <c r="N143" s="278">
        <v>5234.7529999999997</v>
      </c>
      <c r="O143" s="278">
        <v>3.5404299999999997</v>
      </c>
      <c r="P143" s="278">
        <v>19.58268</v>
      </c>
      <c r="Q143" s="278">
        <v>41.153199999999998</v>
      </c>
      <c r="R143" s="278">
        <v>0.41206999999999999</v>
      </c>
      <c r="S143" s="278">
        <v>617.09112000000005</v>
      </c>
      <c r="U143" s="278">
        <v>508.50675999999999</v>
      </c>
      <c r="V143" s="278">
        <v>0</v>
      </c>
      <c r="W143" s="278">
        <v>0</v>
      </c>
      <c r="X143" s="278">
        <v>108.58436</v>
      </c>
      <c r="Y143" s="278">
        <v>-23.000040000000002</v>
      </c>
      <c r="Z143" s="278">
        <v>0</v>
      </c>
      <c r="AA143" s="278">
        <v>0</v>
      </c>
      <c r="AB143" s="278">
        <v>131.58439999999999</v>
      </c>
      <c r="AD143" s="278">
        <v>3785.2996000000003</v>
      </c>
      <c r="AE143" s="157">
        <v>364.65958000000001</v>
      </c>
      <c r="AF143" s="184">
        <v>-252.43154000000001</v>
      </c>
      <c r="AG143" s="278">
        <v>-744.01864999999998</v>
      </c>
      <c r="AH143" s="278">
        <v>297.19279999999998</v>
      </c>
      <c r="AI143" s="184">
        <v>260</v>
      </c>
      <c r="AJ143" s="278">
        <v>1889.66507</v>
      </c>
      <c r="AL143" s="278">
        <v>1957.3899699999997</v>
      </c>
      <c r="AM143" s="184">
        <v>0</v>
      </c>
      <c r="AN143" s="278">
        <v>-361.90821999999997</v>
      </c>
      <c r="AO143" s="355">
        <v>1930</v>
      </c>
      <c r="AP143" s="344">
        <v>8.1100000000000012</v>
      </c>
      <c r="AQ143" s="462"/>
      <c r="AS143" s="469">
        <v>1452.30495</v>
      </c>
      <c r="AT143" s="278">
        <v>6293.2680599999994</v>
      </c>
      <c r="AU143" s="464"/>
      <c r="AV143" s="346">
        <v>2801.67848</v>
      </c>
      <c r="AW143" s="346">
        <v>305.83148999999997</v>
      </c>
      <c r="AX143" s="346">
        <v>543.26338999999996</v>
      </c>
      <c r="AY143" s="346">
        <v>3650.7733599999997</v>
      </c>
      <c r="AZ143" s="346">
        <v>1767.3330000000001</v>
      </c>
      <c r="BA143" s="278">
        <v>23.416180000000001</v>
      </c>
      <c r="BB143" s="345">
        <v>33.123910000000002</v>
      </c>
      <c r="BC143" s="278">
        <v>10.43328</v>
      </c>
      <c r="BD143" s="278">
        <v>0.37248000000000003</v>
      </c>
      <c r="BE143" s="346">
        <v>577.49631999999997</v>
      </c>
      <c r="BG143" s="343">
        <v>508.74480999999997</v>
      </c>
      <c r="BH143" s="343">
        <v>0</v>
      </c>
      <c r="BI143" s="343">
        <v>0</v>
      </c>
      <c r="BJ143" s="346">
        <v>68.751509999999996</v>
      </c>
      <c r="BK143" s="346">
        <v>-23.000040000000002</v>
      </c>
      <c r="BL143" s="343">
        <v>0</v>
      </c>
      <c r="BM143" s="343">
        <v>0</v>
      </c>
      <c r="BN143" s="346">
        <v>91.751550000000009</v>
      </c>
      <c r="BP143" s="346">
        <v>3877.0511500000002</v>
      </c>
      <c r="BQ143" s="318">
        <v>515.80416000000002</v>
      </c>
      <c r="BR143" s="278">
        <v>-61.692160000000001</v>
      </c>
      <c r="BS143" s="475">
        <v>-684.43775000000005</v>
      </c>
      <c r="BT143" s="278">
        <v>72.239999999999995</v>
      </c>
      <c r="BU143" s="278">
        <v>65.14</v>
      </c>
      <c r="BV143" s="345">
        <v>1649.17976</v>
      </c>
      <c r="BX143" s="278">
        <v>1623.3987999999999</v>
      </c>
      <c r="BY143" s="483">
        <v>16.95524</v>
      </c>
      <c r="BZ143" s="483">
        <v>-333.99119999999999</v>
      </c>
      <c r="CA143" s="260"/>
      <c r="CB143" s="347">
        <v>8.5</v>
      </c>
      <c r="CC143" s="486">
        <f t="shared" si="2"/>
        <v>8.5</v>
      </c>
      <c r="CD143" s="287"/>
      <c r="CE143" s="278"/>
      <c r="CF143" s="268"/>
      <c r="CI143" s="158">
        <v>0</v>
      </c>
      <c r="CJ143" s="343">
        <v>1668.8849633685059</v>
      </c>
      <c r="CK143" s="343">
        <v>1710.203777428178</v>
      </c>
      <c r="CL143" s="343">
        <v>1773.5265470633021</v>
      </c>
      <c r="CM143" s="487">
        <v>1716.5243267370656</v>
      </c>
      <c r="CN143" s="487">
        <v>1895.8012377945938</v>
      </c>
      <c r="CO143" s="495">
        <v>-502.12</v>
      </c>
      <c r="CP143" s="299"/>
      <c r="CQ143" s="489">
        <v>0</v>
      </c>
      <c r="CR143" s="489">
        <v>0</v>
      </c>
    </row>
    <row r="144" spans="1:96" x14ac:dyDescent="0.2">
      <c r="A144" s="154">
        <v>481</v>
      </c>
      <c r="B144" s="156" t="s">
        <v>174</v>
      </c>
      <c r="C144" s="337">
        <v>9642</v>
      </c>
      <c r="D144" s="276">
        <v>20.75</v>
      </c>
      <c r="E144" s="185"/>
      <c r="G144" s="278">
        <v>4690.3900800000001</v>
      </c>
      <c r="H144" s="278">
        <v>57197.964009999996</v>
      </c>
      <c r="I144" s="278"/>
      <c r="J144" s="278">
        <v>41894.495880000002</v>
      </c>
      <c r="K144" s="278">
        <v>2806.3974700000003</v>
      </c>
      <c r="L144" s="278">
        <v>2135.1200400000002</v>
      </c>
      <c r="M144" s="278">
        <v>46836.01339</v>
      </c>
      <c r="N144" s="278">
        <v>10647.138999999999</v>
      </c>
      <c r="O144" s="278">
        <v>38.857949999999995</v>
      </c>
      <c r="P144" s="278">
        <v>245.60305</v>
      </c>
      <c r="Q144" s="278">
        <v>110.67177000000001</v>
      </c>
      <c r="R144" s="278">
        <v>35.185339999999997</v>
      </c>
      <c r="S144" s="278">
        <v>4844.3197900000005</v>
      </c>
      <c r="U144" s="278">
        <v>3341.6385599999999</v>
      </c>
      <c r="V144" s="278">
        <v>0</v>
      </c>
      <c r="W144" s="278">
        <v>0</v>
      </c>
      <c r="X144" s="278">
        <v>1502.6812299999999</v>
      </c>
      <c r="Y144" s="278">
        <v>-85.71687</v>
      </c>
      <c r="Z144" s="278">
        <v>0</v>
      </c>
      <c r="AA144" s="278">
        <v>0</v>
      </c>
      <c r="AB144" s="278">
        <v>1588.3981000000001</v>
      </c>
      <c r="AD144" s="278">
        <v>6767.24352</v>
      </c>
      <c r="AE144" s="157">
        <v>4551.2750999999998</v>
      </c>
      <c r="AF144" s="184">
        <v>-293.04469</v>
      </c>
      <c r="AG144" s="278">
        <v>-2638.83806</v>
      </c>
      <c r="AH144" s="278">
        <v>84</v>
      </c>
      <c r="AI144" s="184">
        <v>1180.0229999999999</v>
      </c>
      <c r="AJ144" s="278">
        <v>2608.5749900000001</v>
      </c>
      <c r="AL144" s="278">
        <v>40647.829010000001</v>
      </c>
      <c r="AM144" s="184">
        <v>175.93785999999997</v>
      </c>
      <c r="AN144" s="278">
        <v>-3126.4882200000002</v>
      </c>
      <c r="AO144" s="355">
        <v>9619</v>
      </c>
      <c r="AP144" s="344">
        <v>8.11</v>
      </c>
      <c r="AQ144" s="462"/>
      <c r="AS144" s="469">
        <v>3048.3054500000003</v>
      </c>
      <c r="AT144" s="278">
        <v>30304.59835</v>
      </c>
      <c r="AU144" s="464"/>
      <c r="AV144" s="346">
        <v>20257.364870000001</v>
      </c>
      <c r="AW144" s="346">
        <v>1847.9351499999998</v>
      </c>
      <c r="AX144" s="346">
        <v>2235.76422</v>
      </c>
      <c r="AY144" s="346">
        <v>24341.06424</v>
      </c>
      <c r="AZ144" s="346">
        <v>6262.8540000000003</v>
      </c>
      <c r="BA144" s="278">
        <v>35.098140000000001</v>
      </c>
      <c r="BB144" s="345">
        <v>1039.6321399999999</v>
      </c>
      <c r="BC144" s="278">
        <v>14.49306</v>
      </c>
      <c r="BD144" s="278">
        <v>6.16662</v>
      </c>
      <c r="BE144" s="346">
        <v>2353.7927799999998</v>
      </c>
      <c r="BG144" s="343">
        <v>3022.80699</v>
      </c>
      <c r="BH144" s="343">
        <v>50</v>
      </c>
      <c r="BI144" s="343">
        <v>0</v>
      </c>
      <c r="BJ144" s="346">
        <v>-619.01420999999993</v>
      </c>
      <c r="BK144" s="343">
        <v>-85.71687</v>
      </c>
      <c r="BL144" s="343">
        <v>0</v>
      </c>
      <c r="BM144" s="343">
        <v>0</v>
      </c>
      <c r="BN144" s="346">
        <v>-533.29733999999996</v>
      </c>
      <c r="BP144" s="346">
        <v>6233.9461799999999</v>
      </c>
      <c r="BQ144" s="318">
        <v>2298.4641900000001</v>
      </c>
      <c r="BR144" s="278">
        <v>-105.32858999999999</v>
      </c>
      <c r="BS144" s="475">
        <v>-2994.0530099999996</v>
      </c>
      <c r="BT144" s="278">
        <v>5</v>
      </c>
      <c r="BU144" s="278">
        <v>1590.2729199999999</v>
      </c>
      <c r="BV144" s="345">
        <v>1860.5124900000001</v>
      </c>
      <c r="BX144" s="278">
        <v>38243.56179</v>
      </c>
      <c r="BY144" s="483">
        <v>160.93787</v>
      </c>
      <c r="BZ144" s="483">
        <v>-2404.2672200000002</v>
      </c>
      <c r="CA144" s="260"/>
      <c r="CB144" s="347">
        <v>8.1</v>
      </c>
      <c r="CC144" s="486">
        <f t="shared" si="2"/>
        <v>8.1</v>
      </c>
      <c r="CD144" s="287"/>
      <c r="CE144" s="278"/>
      <c r="CF144" s="268"/>
      <c r="CI144" s="158">
        <v>0</v>
      </c>
      <c r="CJ144" s="343">
        <v>5180.0484927769139</v>
      </c>
      <c r="CK144" s="343">
        <v>5019.0633121465889</v>
      </c>
      <c r="CL144" s="343">
        <v>5634.8222768515461</v>
      </c>
      <c r="CM144" s="487">
        <v>5671.075253816507</v>
      </c>
      <c r="CN144" s="487">
        <v>5632.0300188779001</v>
      </c>
      <c r="CO144" s="495">
        <v>-2205.4169999999999</v>
      </c>
      <c r="CP144" s="299"/>
      <c r="CQ144" s="489">
        <v>0</v>
      </c>
      <c r="CR144" s="489">
        <v>2.375</v>
      </c>
    </row>
    <row r="145" spans="1:96" x14ac:dyDescent="0.2">
      <c r="A145" s="154">
        <v>483</v>
      </c>
      <c r="B145" s="156" t="s">
        <v>175</v>
      </c>
      <c r="C145" s="337">
        <v>1067</v>
      </c>
      <c r="D145" s="276">
        <v>22.5</v>
      </c>
      <c r="E145" s="185"/>
      <c r="G145" s="278">
        <v>2191.3319500000002</v>
      </c>
      <c r="H145" s="278">
        <v>10208.77491</v>
      </c>
      <c r="I145" s="278"/>
      <c r="J145" s="278">
        <v>2379.4078399999999</v>
      </c>
      <c r="K145" s="278">
        <v>224.27291</v>
      </c>
      <c r="L145" s="278">
        <v>347.9513</v>
      </c>
      <c r="M145" s="278">
        <v>2951.6320499999997</v>
      </c>
      <c r="N145" s="278">
        <v>4717.317</v>
      </c>
      <c r="O145" s="278">
        <v>1.31274</v>
      </c>
      <c r="P145" s="278">
        <v>21.885060000000003</v>
      </c>
      <c r="Q145" s="278">
        <v>177.12254999999999</v>
      </c>
      <c r="R145" s="278">
        <v>136.68868000000001</v>
      </c>
      <c r="S145" s="278">
        <v>-328.63236000000001</v>
      </c>
      <c r="U145" s="278">
        <v>384.14438000000001</v>
      </c>
      <c r="V145" s="278">
        <v>0</v>
      </c>
      <c r="W145" s="278">
        <v>0</v>
      </c>
      <c r="X145" s="278">
        <v>-712.77674000000002</v>
      </c>
      <c r="Y145" s="278">
        <v>0</v>
      </c>
      <c r="Z145" s="278">
        <v>0</v>
      </c>
      <c r="AA145" s="278">
        <v>0</v>
      </c>
      <c r="AB145" s="278">
        <v>-712.77674000000002</v>
      </c>
      <c r="AD145" s="278">
        <v>1159.5700400000001</v>
      </c>
      <c r="AE145" s="157">
        <v>-310.84535999999997</v>
      </c>
      <c r="AF145" s="184">
        <v>17.786999999999999</v>
      </c>
      <c r="AG145" s="278">
        <v>-90.178610000000006</v>
      </c>
      <c r="AH145" s="278">
        <v>10.578419999999999</v>
      </c>
      <c r="AI145" s="184">
        <v>0</v>
      </c>
      <c r="AJ145" s="278">
        <v>2863.0630199999996</v>
      </c>
      <c r="AL145" s="278">
        <v>3240.4169999999999</v>
      </c>
      <c r="AM145" s="184">
        <v>1.5</v>
      </c>
      <c r="AN145" s="278">
        <v>-332.40755999999999</v>
      </c>
      <c r="AO145" s="355">
        <v>1055</v>
      </c>
      <c r="AP145" s="344">
        <v>9.86</v>
      </c>
      <c r="AQ145" s="462"/>
      <c r="AS145" s="469">
        <v>1859.8454899999999</v>
      </c>
      <c r="AT145" s="278">
        <v>6084.9050999999999</v>
      </c>
      <c r="AU145" s="464"/>
      <c r="AV145" s="346">
        <v>1358.2790199999999</v>
      </c>
      <c r="AW145" s="346">
        <v>135.50117</v>
      </c>
      <c r="AX145" s="346">
        <v>340.8175</v>
      </c>
      <c r="AY145" s="346">
        <v>1834.5976900000001</v>
      </c>
      <c r="AZ145" s="346">
        <v>2067.75</v>
      </c>
      <c r="BA145" s="278">
        <v>0.88500000000000001</v>
      </c>
      <c r="BB145" s="345">
        <v>121.57575999999999</v>
      </c>
      <c r="BC145" s="278">
        <v>123.60563999999999</v>
      </c>
      <c r="BD145" s="278">
        <v>7.5980799999999995</v>
      </c>
      <c r="BE145" s="346">
        <v>-327.39512000000002</v>
      </c>
      <c r="BG145" s="343">
        <v>342.53934000000004</v>
      </c>
      <c r="BH145" s="346">
        <v>0</v>
      </c>
      <c r="BI145" s="343">
        <v>0</v>
      </c>
      <c r="BJ145" s="346">
        <v>-669.93445999999994</v>
      </c>
      <c r="BK145" s="346">
        <v>0</v>
      </c>
      <c r="BL145" s="343">
        <v>0</v>
      </c>
      <c r="BM145" s="343">
        <v>0</v>
      </c>
      <c r="BN145" s="346">
        <v>-669.93445999999994</v>
      </c>
      <c r="BP145" s="346">
        <v>489.63558000000012</v>
      </c>
      <c r="BQ145" s="318">
        <v>-326.57414</v>
      </c>
      <c r="BR145" s="278">
        <v>0.82098000000000004</v>
      </c>
      <c r="BS145" s="475">
        <v>-112.29407</v>
      </c>
      <c r="BT145" s="278">
        <v>23.27327</v>
      </c>
      <c r="BU145" s="278">
        <v>272.20961</v>
      </c>
      <c r="BV145" s="345">
        <v>2915.08221</v>
      </c>
      <c r="BX145" s="278">
        <v>4266.723</v>
      </c>
      <c r="BY145" s="483">
        <v>1.5</v>
      </c>
      <c r="BZ145" s="483">
        <v>1026.306</v>
      </c>
      <c r="CA145" s="260"/>
      <c r="CB145" s="347">
        <v>10</v>
      </c>
      <c r="CC145" s="486">
        <f t="shared" si="2"/>
        <v>10</v>
      </c>
      <c r="CD145" s="287"/>
      <c r="CE145" s="278"/>
      <c r="CF145" s="268"/>
      <c r="CI145" s="158">
        <v>0</v>
      </c>
      <c r="CJ145" s="343">
        <v>1560.9618609127601</v>
      </c>
      <c r="CK145" s="343">
        <v>1740.2769809459728</v>
      </c>
      <c r="CL145" s="343">
        <v>1799.4577502065081</v>
      </c>
      <c r="CM145" s="487">
        <v>1840.4841579898464</v>
      </c>
      <c r="CN145" s="487">
        <v>2108.2447127369765</v>
      </c>
      <c r="CO145" s="495">
        <v>-214.858</v>
      </c>
      <c r="CP145" s="299"/>
      <c r="CQ145" s="489">
        <v>0</v>
      </c>
      <c r="CR145" s="489">
        <v>0</v>
      </c>
    </row>
    <row r="146" spans="1:96" x14ac:dyDescent="0.2">
      <c r="A146" s="154">
        <v>484</v>
      </c>
      <c r="B146" s="156" t="s">
        <v>176</v>
      </c>
      <c r="C146" s="337">
        <v>2967</v>
      </c>
      <c r="D146" s="276">
        <v>20.5</v>
      </c>
      <c r="E146" s="185"/>
      <c r="G146" s="278">
        <v>4435.2510300000004</v>
      </c>
      <c r="H146" s="278">
        <v>27773.108949999998</v>
      </c>
      <c r="I146" s="278"/>
      <c r="J146" s="278">
        <v>9188.0709399999996</v>
      </c>
      <c r="K146" s="278">
        <v>2178.1390099999999</v>
      </c>
      <c r="L146" s="278">
        <v>1278.8415</v>
      </c>
      <c r="M146" s="278">
        <v>12645.051449999999</v>
      </c>
      <c r="N146" s="278">
        <v>11344.699000000001</v>
      </c>
      <c r="O146" s="278">
        <v>94.191649999999996</v>
      </c>
      <c r="P146" s="278">
        <v>10.40509</v>
      </c>
      <c r="Q146" s="278">
        <v>81.591139999999996</v>
      </c>
      <c r="R146" s="278">
        <v>1.56E-3</v>
      </c>
      <c r="S146" s="278">
        <v>817.26867000000004</v>
      </c>
      <c r="U146" s="278">
        <v>1257.4618799999998</v>
      </c>
      <c r="V146" s="278">
        <v>0</v>
      </c>
      <c r="W146" s="278">
        <v>0</v>
      </c>
      <c r="X146" s="278">
        <v>-440.19321000000002</v>
      </c>
      <c r="Y146" s="278">
        <v>0</v>
      </c>
      <c r="Z146" s="278">
        <v>0</v>
      </c>
      <c r="AA146" s="278">
        <v>0</v>
      </c>
      <c r="AB146" s="278">
        <v>-440.19321000000002</v>
      </c>
      <c r="AD146" s="278">
        <v>7058.3079100000004</v>
      </c>
      <c r="AE146" s="157">
        <v>516.12330999999995</v>
      </c>
      <c r="AF146" s="184">
        <v>-301.14535999999998</v>
      </c>
      <c r="AG146" s="278">
        <v>-1628.3030900000001</v>
      </c>
      <c r="AH146" s="278">
        <v>0</v>
      </c>
      <c r="AI146" s="184">
        <v>370.00099999999998</v>
      </c>
      <c r="AJ146" s="278">
        <v>3030.0074599999998</v>
      </c>
      <c r="AL146" s="278">
        <v>2525.1809999999991</v>
      </c>
      <c r="AM146" s="184">
        <v>-5.66221</v>
      </c>
      <c r="AN146" s="278">
        <v>-280.88400000000001</v>
      </c>
      <c r="AO146" s="355">
        <v>2966</v>
      </c>
      <c r="AP146" s="344">
        <v>7.86</v>
      </c>
      <c r="AQ146" s="462"/>
      <c r="AS146" s="469">
        <v>3857.3976699999998</v>
      </c>
      <c r="AT146" s="278">
        <v>12855.264580000001</v>
      </c>
      <c r="AU146" s="464"/>
      <c r="AV146" s="346">
        <v>3968.7287099999999</v>
      </c>
      <c r="AW146" s="346">
        <v>1457.53898</v>
      </c>
      <c r="AX146" s="346">
        <v>1274.1769099999999</v>
      </c>
      <c r="AY146" s="346">
        <v>6700.4445999999998</v>
      </c>
      <c r="AZ146" s="346">
        <v>1452.3810000000001</v>
      </c>
      <c r="BA146" s="278">
        <v>116.20455</v>
      </c>
      <c r="BB146" s="345">
        <v>39.345129999999997</v>
      </c>
      <c r="BC146" s="278">
        <v>53.427279999999996</v>
      </c>
      <c r="BD146" s="278">
        <v>1.2869999999999999E-2</v>
      </c>
      <c r="BE146" s="346">
        <v>-714.76747999999998</v>
      </c>
      <c r="BG146" s="343">
        <v>1371.9782299999999</v>
      </c>
      <c r="BH146" s="343">
        <v>0</v>
      </c>
      <c r="BI146" s="343">
        <v>0</v>
      </c>
      <c r="BJ146" s="346">
        <v>-2086.7457100000001</v>
      </c>
      <c r="BK146" s="346">
        <v>0</v>
      </c>
      <c r="BL146" s="343">
        <v>0</v>
      </c>
      <c r="BM146" s="343">
        <v>0</v>
      </c>
      <c r="BN146" s="346">
        <v>-2086.7457100000001</v>
      </c>
      <c r="BP146" s="346">
        <v>4971.5622000000003</v>
      </c>
      <c r="BQ146" s="318">
        <v>-712.88096999999993</v>
      </c>
      <c r="BR146" s="278">
        <v>1.8865099999999999</v>
      </c>
      <c r="BS146" s="475">
        <v>-2564.3796699999998</v>
      </c>
      <c r="BT146" s="278">
        <v>14.999219999999999</v>
      </c>
      <c r="BU146" s="278">
        <v>1.25</v>
      </c>
      <c r="BV146" s="345">
        <v>1101.2970299999999</v>
      </c>
      <c r="BX146" s="278">
        <v>3241.3069999999998</v>
      </c>
      <c r="BY146" s="483">
        <v>4.0526599999999995</v>
      </c>
      <c r="BZ146" s="483">
        <v>716.12599999999998</v>
      </c>
      <c r="CA146" s="260"/>
      <c r="CB146" s="347">
        <v>7.9</v>
      </c>
      <c r="CC146" s="486">
        <f t="shared" si="2"/>
        <v>7.9</v>
      </c>
      <c r="CD146" s="287"/>
      <c r="CE146" s="278"/>
      <c r="CF146" s="268"/>
      <c r="CI146" s="158">
        <v>0</v>
      </c>
      <c r="CJ146" s="343">
        <v>2269.0415152186602</v>
      </c>
      <c r="CK146" s="343">
        <v>2023.5281820094565</v>
      </c>
      <c r="CL146" s="343">
        <v>1245.151371742418</v>
      </c>
      <c r="CM146" s="487">
        <v>1408.543293466912</v>
      </c>
      <c r="CN146" s="487">
        <v>1596.5386453453016</v>
      </c>
      <c r="CO146" s="495">
        <v>297.35300000000001</v>
      </c>
      <c r="CP146" s="299"/>
      <c r="CQ146" s="489">
        <v>0</v>
      </c>
      <c r="CR146" s="489">
        <v>0</v>
      </c>
    </row>
    <row r="147" spans="1:96" x14ac:dyDescent="0.2">
      <c r="A147" s="154">
        <v>489</v>
      </c>
      <c r="B147" s="156" t="s">
        <v>177</v>
      </c>
      <c r="C147" s="337">
        <v>1791</v>
      </c>
      <c r="D147" s="276">
        <v>21.5</v>
      </c>
      <c r="E147" s="185"/>
      <c r="G147" s="278">
        <v>4062.2624799999999</v>
      </c>
      <c r="H147" s="278">
        <v>19161.27736</v>
      </c>
      <c r="I147" s="278"/>
      <c r="J147" s="278">
        <v>5114.3250499999995</v>
      </c>
      <c r="K147" s="278">
        <v>1070.0898</v>
      </c>
      <c r="L147" s="278">
        <v>519.78028999999992</v>
      </c>
      <c r="M147" s="278">
        <v>6704.1951399999998</v>
      </c>
      <c r="N147" s="278">
        <v>8443.857</v>
      </c>
      <c r="O147" s="278">
        <v>24.500450000000001</v>
      </c>
      <c r="P147" s="278">
        <v>33.94623</v>
      </c>
      <c r="Q147" s="278">
        <v>40.539110000000001</v>
      </c>
      <c r="R147" s="278">
        <v>1.00214</v>
      </c>
      <c r="S147" s="278">
        <v>79.128450000000001</v>
      </c>
      <c r="U147" s="278">
        <v>971.60185999999999</v>
      </c>
      <c r="V147" s="278">
        <v>0</v>
      </c>
      <c r="W147" s="278">
        <v>0</v>
      </c>
      <c r="X147" s="278">
        <v>-892.47341000000006</v>
      </c>
      <c r="Y147" s="278">
        <v>0</v>
      </c>
      <c r="Z147" s="278">
        <v>0</v>
      </c>
      <c r="AA147" s="278">
        <v>0</v>
      </c>
      <c r="AB147" s="278">
        <v>-892.47341000000006</v>
      </c>
      <c r="AD147" s="278">
        <v>7373.3328999999994</v>
      </c>
      <c r="AE147" s="157">
        <v>-127.57634</v>
      </c>
      <c r="AF147" s="184">
        <v>-206.70479</v>
      </c>
      <c r="AG147" s="278">
        <v>-447.75021000000004</v>
      </c>
      <c r="AH147" s="278">
        <v>47.85</v>
      </c>
      <c r="AI147" s="184">
        <v>0</v>
      </c>
      <c r="AJ147" s="278">
        <v>2185.7326400000002</v>
      </c>
      <c r="AL147" s="278">
        <v>7686.2559999999994</v>
      </c>
      <c r="AM147" s="184">
        <v>20.62304</v>
      </c>
      <c r="AN147" s="278">
        <v>-564.55200000000002</v>
      </c>
      <c r="AO147" s="355">
        <v>1752</v>
      </c>
      <c r="AP147" s="344">
        <v>8.8600000000000012</v>
      </c>
      <c r="AQ147" s="462"/>
      <c r="AS147" s="469">
        <v>3033.3532799999998</v>
      </c>
      <c r="AT147" s="278">
        <v>8099.7964499999998</v>
      </c>
      <c r="AU147" s="464"/>
      <c r="AV147" s="346">
        <v>2758.6689200000001</v>
      </c>
      <c r="AW147" s="346">
        <v>555.76406999999995</v>
      </c>
      <c r="AX147" s="346">
        <v>541.86027000000001</v>
      </c>
      <c r="AY147" s="346">
        <v>3856.2932599999999</v>
      </c>
      <c r="AZ147" s="346">
        <v>1995.4770000000001</v>
      </c>
      <c r="BA147" s="278">
        <v>26.710979999999999</v>
      </c>
      <c r="BB147" s="345">
        <v>265.80220000000003</v>
      </c>
      <c r="BC147" s="278">
        <v>51.467059999999996</v>
      </c>
      <c r="BD147" s="278">
        <v>3.1536900000000001</v>
      </c>
      <c r="BE147" s="346">
        <v>594.54923999999994</v>
      </c>
      <c r="BG147" s="343">
        <v>1012.94912</v>
      </c>
      <c r="BH147" s="343">
        <v>0</v>
      </c>
      <c r="BI147" s="343">
        <v>0</v>
      </c>
      <c r="BJ147" s="346">
        <v>-418.39988</v>
      </c>
      <c r="BK147" s="343">
        <v>0</v>
      </c>
      <c r="BL147" s="343">
        <v>0</v>
      </c>
      <c r="BM147" s="343">
        <v>0</v>
      </c>
      <c r="BN147" s="346">
        <v>-418.39988</v>
      </c>
      <c r="BP147" s="346">
        <v>6954.9330200000004</v>
      </c>
      <c r="BQ147" s="318">
        <v>582.93813</v>
      </c>
      <c r="BR147" s="278">
        <v>-11.61111</v>
      </c>
      <c r="BS147" s="475">
        <v>-2464.9013</v>
      </c>
      <c r="BT147" s="278">
        <v>9</v>
      </c>
      <c r="BU147" s="278">
        <v>39.851109999999998</v>
      </c>
      <c r="BV147" s="345">
        <v>706.33292000000006</v>
      </c>
      <c r="BX147" s="278">
        <v>8821.7039999999997</v>
      </c>
      <c r="BY147" s="483">
        <v>-24.310299999999998</v>
      </c>
      <c r="BZ147" s="483">
        <v>1135.4480000000001</v>
      </c>
      <c r="CA147" s="260"/>
      <c r="CB147" s="347">
        <v>8.9</v>
      </c>
      <c r="CC147" s="486">
        <f t="shared" si="2"/>
        <v>8.9</v>
      </c>
      <c r="CD147" s="287"/>
      <c r="CE147" s="278"/>
      <c r="CF147" s="268"/>
      <c r="CI147" s="158">
        <v>0</v>
      </c>
      <c r="CJ147" s="343">
        <v>1726.525551661508</v>
      </c>
      <c r="CK147" s="343">
        <v>1928.020042057201</v>
      </c>
      <c r="CL147" s="343">
        <v>1927.2206307453303</v>
      </c>
      <c r="CM147" s="487">
        <v>1896.8747411100962</v>
      </c>
      <c r="CN147" s="487">
        <v>2137.8410555800888</v>
      </c>
      <c r="CO147" s="495">
        <v>-528.71699999999998</v>
      </c>
      <c r="CP147" s="299"/>
      <c r="CQ147" s="489">
        <v>0</v>
      </c>
      <c r="CR147" s="489">
        <v>0</v>
      </c>
    </row>
    <row r="148" spans="1:96" x14ac:dyDescent="0.2">
      <c r="A148" s="154">
        <v>491</v>
      </c>
      <c r="B148" s="156" t="s">
        <v>178</v>
      </c>
      <c r="C148" s="337">
        <v>51980</v>
      </c>
      <c r="D148" s="276">
        <v>22</v>
      </c>
      <c r="E148" s="185"/>
      <c r="G148" s="278">
        <v>80168.757379999995</v>
      </c>
      <c r="H148" s="278">
        <v>440845.03792999999</v>
      </c>
      <c r="I148" s="278"/>
      <c r="J148" s="278">
        <v>199948.23461000001</v>
      </c>
      <c r="K148" s="278">
        <v>23269.029859999999</v>
      </c>
      <c r="L148" s="278">
        <v>22719.519949999998</v>
      </c>
      <c r="M148" s="278">
        <v>245936.78441999998</v>
      </c>
      <c r="N148" s="278">
        <v>135899.5</v>
      </c>
      <c r="O148" s="278">
        <v>1084.2749699999999</v>
      </c>
      <c r="P148" s="278">
        <v>2866.08898</v>
      </c>
      <c r="Q148" s="278">
        <v>6864.2188399999995</v>
      </c>
      <c r="R148" s="278">
        <v>1796.9091599999999</v>
      </c>
      <c r="S148" s="278">
        <v>25115.164120000001</v>
      </c>
      <c r="U148" s="278">
        <v>24591.813340000001</v>
      </c>
      <c r="V148" s="278">
        <v>0</v>
      </c>
      <c r="W148" s="278">
        <v>8330.6596200000004</v>
      </c>
      <c r="X148" s="278">
        <v>-7807.3088399999997</v>
      </c>
      <c r="Y148" s="278">
        <v>-576.32584999999995</v>
      </c>
      <c r="Z148" s="278">
        <v>0</v>
      </c>
      <c r="AA148" s="278">
        <v>0</v>
      </c>
      <c r="AB148" s="278">
        <v>-7230.9829900000004</v>
      </c>
      <c r="AD148" s="278">
        <v>-40780.438340000001</v>
      </c>
      <c r="AE148" s="157">
        <v>23249.664539999998</v>
      </c>
      <c r="AF148" s="184">
        <v>6465.1600399999998</v>
      </c>
      <c r="AG148" s="278">
        <v>-29496.059539999998</v>
      </c>
      <c r="AH148" s="278">
        <v>659.94280000000003</v>
      </c>
      <c r="AI148" s="184">
        <v>2341.0966100000001</v>
      </c>
      <c r="AJ148" s="278">
        <v>32333.261719999999</v>
      </c>
      <c r="AL148" s="278">
        <v>320551.57650000002</v>
      </c>
      <c r="AM148" s="184">
        <v>-6014.9844800000001</v>
      </c>
      <c r="AN148" s="278">
        <v>22372.386690000003</v>
      </c>
      <c r="AO148" s="355">
        <v>51919</v>
      </c>
      <c r="AP148" s="344">
        <v>9.36</v>
      </c>
      <c r="AQ148" s="462"/>
      <c r="AS148" s="469">
        <v>53563.37629</v>
      </c>
      <c r="AT148" s="278">
        <v>178450.30653</v>
      </c>
      <c r="AU148" s="464"/>
      <c r="AV148" s="346">
        <v>109719.01064000001</v>
      </c>
      <c r="AW148" s="346">
        <v>14575.81345</v>
      </c>
      <c r="AX148" s="346">
        <v>21898.910159999999</v>
      </c>
      <c r="AY148" s="346">
        <v>146193.73425000001</v>
      </c>
      <c r="AZ148" s="346">
        <v>11130.471</v>
      </c>
      <c r="BA148" s="278">
        <v>1886.43823</v>
      </c>
      <c r="BB148" s="345">
        <v>6845.4999000000007</v>
      </c>
      <c r="BC148" s="278">
        <v>9861.9966300000015</v>
      </c>
      <c r="BD148" s="278">
        <v>119.23969</v>
      </c>
      <c r="BE148" s="346">
        <v>37937.516170000003</v>
      </c>
      <c r="BG148" s="343">
        <v>23443.94283</v>
      </c>
      <c r="BH148" s="343">
        <v>4302.9268400000001</v>
      </c>
      <c r="BI148" s="343">
        <v>0</v>
      </c>
      <c r="BJ148" s="346">
        <v>18796.500179999999</v>
      </c>
      <c r="BK148" s="346">
        <v>-934.06753000000003</v>
      </c>
      <c r="BL148" s="343">
        <v>0</v>
      </c>
      <c r="BM148" s="343">
        <v>0</v>
      </c>
      <c r="BN148" s="346">
        <v>19730.567709999999</v>
      </c>
      <c r="BP148" s="346">
        <v>-21056.919670000007</v>
      </c>
      <c r="BQ148" s="318">
        <v>29552.75604</v>
      </c>
      <c r="BR148" s="278">
        <v>-12687.686970000001</v>
      </c>
      <c r="BS148" s="475">
        <v>-25773.106</v>
      </c>
      <c r="BT148" s="278">
        <v>637.55494999999996</v>
      </c>
      <c r="BU148" s="278">
        <v>2074.2178400000003</v>
      </c>
      <c r="BV148" s="345">
        <v>9289.6721899999993</v>
      </c>
      <c r="BX148" s="278">
        <v>315042.68810999999</v>
      </c>
      <c r="BY148" s="483">
        <v>-2674.3030400000002</v>
      </c>
      <c r="BZ148" s="483">
        <v>-5508.8883900000001</v>
      </c>
      <c r="CA148" s="260"/>
      <c r="CB148" s="347">
        <v>9.3999999999999986</v>
      </c>
      <c r="CC148" s="486">
        <f t="shared" si="2"/>
        <v>9.3999999999999986</v>
      </c>
      <c r="CD148" s="287"/>
      <c r="CE148" s="278"/>
      <c r="CF148" s="268"/>
      <c r="CI148" s="158">
        <v>0</v>
      </c>
      <c r="CJ148" s="343">
        <v>6688.1689641713101</v>
      </c>
      <c r="CK148" s="343">
        <v>12835.194222559767</v>
      </c>
      <c r="CL148" s="343">
        <v>13966.81249312275</v>
      </c>
      <c r="CM148" s="487">
        <v>14594.80675962583</v>
      </c>
      <c r="CN148" s="487">
        <v>19677.730911938306</v>
      </c>
      <c r="CO148" s="495">
        <v>1762.326</v>
      </c>
      <c r="CP148" s="299"/>
      <c r="CQ148" s="489">
        <v>669.66458</v>
      </c>
      <c r="CR148" s="489">
        <v>716.54588999999999</v>
      </c>
    </row>
    <row r="149" spans="1:96" x14ac:dyDescent="0.2">
      <c r="A149" s="154">
        <v>494</v>
      </c>
      <c r="B149" s="156" t="s">
        <v>179</v>
      </c>
      <c r="C149" s="337">
        <v>8882</v>
      </c>
      <c r="D149" s="276">
        <v>22</v>
      </c>
      <c r="E149" s="185"/>
      <c r="G149" s="278">
        <v>14077.114380000001</v>
      </c>
      <c r="H149" s="278">
        <v>73989.670870000002</v>
      </c>
      <c r="I149" s="278"/>
      <c r="J149" s="278">
        <v>29293.393660000002</v>
      </c>
      <c r="K149" s="278">
        <v>1497.6368300000001</v>
      </c>
      <c r="L149" s="278">
        <v>4162.7539800000004</v>
      </c>
      <c r="M149" s="278">
        <v>34953.784469999999</v>
      </c>
      <c r="N149" s="278">
        <v>28983.539000000001</v>
      </c>
      <c r="O149" s="278">
        <v>107.54128</v>
      </c>
      <c r="P149" s="278">
        <v>275.05268000000001</v>
      </c>
      <c r="Q149" s="278">
        <v>25.80734</v>
      </c>
      <c r="R149" s="278">
        <v>7.7153499999999999</v>
      </c>
      <c r="S149" s="278">
        <v>3946.1582200000003</v>
      </c>
      <c r="U149" s="278">
        <v>3962.88573</v>
      </c>
      <c r="V149" s="278">
        <v>0</v>
      </c>
      <c r="W149" s="278">
        <v>0</v>
      </c>
      <c r="X149" s="278">
        <v>-16.727509999999999</v>
      </c>
      <c r="Y149" s="278">
        <v>-22.015560000000001</v>
      </c>
      <c r="Z149" s="278">
        <v>0</v>
      </c>
      <c r="AA149" s="278">
        <v>0</v>
      </c>
      <c r="AB149" s="278">
        <v>5.2880500000000001</v>
      </c>
      <c r="AD149" s="278">
        <v>-849.21253999999988</v>
      </c>
      <c r="AE149" s="157">
        <v>3953.9638799999998</v>
      </c>
      <c r="AF149" s="184">
        <v>7.8056599999999996</v>
      </c>
      <c r="AG149" s="278">
        <v>-5244.4268499999998</v>
      </c>
      <c r="AH149" s="278">
        <v>24.29025</v>
      </c>
      <c r="AI149" s="184">
        <v>235.58265</v>
      </c>
      <c r="AJ149" s="278">
        <v>3124.8402599999999</v>
      </c>
      <c r="AL149" s="278">
        <v>53141.699489999999</v>
      </c>
      <c r="AM149" s="184">
        <v>0</v>
      </c>
      <c r="AN149" s="278">
        <v>-325.36962</v>
      </c>
      <c r="AO149" s="355">
        <v>8827</v>
      </c>
      <c r="AP149" s="344">
        <v>9.36</v>
      </c>
      <c r="AQ149" s="462"/>
      <c r="AS149" s="469">
        <v>22940.425640000001</v>
      </c>
      <c r="AT149" s="278">
        <v>48854.48055</v>
      </c>
      <c r="AU149" s="464"/>
      <c r="AV149" s="346">
        <v>15898.143099999999</v>
      </c>
      <c r="AW149" s="346">
        <v>981.04541000000006</v>
      </c>
      <c r="AX149" s="346">
        <v>4386.0585700000001</v>
      </c>
      <c r="AY149" s="346">
        <v>21265.247079999997</v>
      </c>
      <c r="AZ149" s="346">
        <v>11831.377</v>
      </c>
      <c r="BA149" s="278">
        <v>114.90402</v>
      </c>
      <c r="BB149" s="345">
        <v>623.25977</v>
      </c>
      <c r="BC149" s="278">
        <v>22.774279999999997</v>
      </c>
      <c r="BD149" s="278">
        <v>3.9533400000000003</v>
      </c>
      <c r="BE149" s="346">
        <v>6811.5366699999995</v>
      </c>
      <c r="BG149" s="343">
        <v>3987.4988699999999</v>
      </c>
      <c r="BH149" s="343">
        <v>0</v>
      </c>
      <c r="BI149" s="343">
        <v>0</v>
      </c>
      <c r="BJ149" s="346">
        <v>2824.0377999999996</v>
      </c>
      <c r="BK149" s="346">
        <v>-21.516419999999997</v>
      </c>
      <c r="BL149" s="346">
        <v>0</v>
      </c>
      <c r="BM149" s="343">
        <v>0</v>
      </c>
      <c r="BN149" s="346">
        <v>2845.55422</v>
      </c>
      <c r="BP149" s="346">
        <v>1996.34168</v>
      </c>
      <c r="BQ149" s="318">
        <v>6675.7769699999999</v>
      </c>
      <c r="BR149" s="278">
        <v>-135.75970000000001</v>
      </c>
      <c r="BS149" s="475">
        <v>-5913.4119299999993</v>
      </c>
      <c r="BT149" s="278">
        <v>494.67500000000001</v>
      </c>
      <c r="BU149" s="278">
        <v>141.82160999999999</v>
      </c>
      <c r="BV149" s="345">
        <v>3319.2391499999999</v>
      </c>
      <c r="BX149" s="278">
        <v>52917.49</v>
      </c>
      <c r="BY149" s="483">
        <v>3.3</v>
      </c>
      <c r="BZ149" s="483">
        <v>-224.20948999999999</v>
      </c>
      <c r="CA149" s="260"/>
      <c r="CB149" s="347">
        <v>9.4</v>
      </c>
      <c r="CC149" s="486">
        <f t="shared" si="2"/>
        <v>9.4</v>
      </c>
      <c r="CD149" s="287"/>
      <c r="CE149" s="278"/>
      <c r="CF149" s="268"/>
      <c r="CI149" s="158">
        <v>0</v>
      </c>
      <c r="CJ149" s="343">
        <v>10169.666111624138</v>
      </c>
      <c r="CK149" s="343">
        <v>10615.483847037021</v>
      </c>
      <c r="CL149" s="343">
        <v>11164.943236291931</v>
      </c>
      <c r="CM149" s="487">
        <v>11255.619682975524</v>
      </c>
      <c r="CN149" s="487">
        <v>12078.719273142058</v>
      </c>
      <c r="CO149" s="495">
        <v>-205.26</v>
      </c>
      <c r="CP149" s="299"/>
      <c r="CQ149" s="489">
        <v>70.810649999999995</v>
      </c>
      <c r="CR149" s="489">
        <v>118.50230999999999</v>
      </c>
    </row>
    <row r="150" spans="1:96" x14ac:dyDescent="0.2">
      <c r="A150" s="154">
        <v>495</v>
      </c>
      <c r="B150" s="156" t="s">
        <v>180</v>
      </c>
      <c r="C150" s="337">
        <v>1477</v>
      </c>
      <c r="D150" s="276">
        <v>22</v>
      </c>
      <c r="E150" s="185"/>
      <c r="G150" s="278">
        <v>2169.4729400000001</v>
      </c>
      <c r="H150" s="278">
        <v>14439.97991</v>
      </c>
      <c r="I150" s="278"/>
      <c r="J150" s="278">
        <v>4419.7449000000006</v>
      </c>
      <c r="K150" s="278">
        <v>1674.45056</v>
      </c>
      <c r="L150" s="278">
        <v>492.36872</v>
      </c>
      <c r="M150" s="278">
        <v>6586.5641799999994</v>
      </c>
      <c r="N150" s="278">
        <v>5985.3829999999998</v>
      </c>
      <c r="O150" s="278">
        <v>0.43937999999999999</v>
      </c>
      <c r="P150" s="278">
        <v>1.217E-2</v>
      </c>
      <c r="Q150" s="278">
        <v>6.6669900000000002</v>
      </c>
      <c r="R150" s="278">
        <v>1.90629</v>
      </c>
      <c r="S150" s="278">
        <v>306.62811999999997</v>
      </c>
      <c r="U150" s="278">
        <v>393.97207000000003</v>
      </c>
      <c r="V150" s="278">
        <v>0</v>
      </c>
      <c r="W150" s="278">
        <v>0</v>
      </c>
      <c r="X150" s="278">
        <v>-87.343949999999992</v>
      </c>
      <c r="Y150" s="278">
        <v>0</v>
      </c>
      <c r="Z150" s="278">
        <v>0</v>
      </c>
      <c r="AA150" s="278">
        <v>0</v>
      </c>
      <c r="AB150" s="278">
        <v>-87.343949999999992</v>
      </c>
      <c r="AD150" s="278">
        <v>-109.06737</v>
      </c>
      <c r="AE150" s="157">
        <v>522.22440999999992</v>
      </c>
      <c r="AF150" s="184">
        <v>215.59629000000001</v>
      </c>
      <c r="AG150" s="278">
        <v>-278.25711999999999</v>
      </c>
      <c r="AH150" s="278">
        <v>0</v>
      </c>
      <c r="AI150" s="184">
        <v>53.367890000000003</v>
      </c>
      <c r="AJ150" s="278">
        <v>423.21277000000003</v>
      </c>
      <c r="AL150" s="278">
        <v>0</v>
      </c>
      <c r="AM150" s="184">
        <v>2.2914599999999998</v>
      </c>
      <c r="AN150" s="278">
        <v>-363.52835999999996</v>
      </c>
      <c r="AO150" s="355">
        <v>1430</v>
      </c>
      <c r="AP150" s="344">
        <v>9.36</v>
      </c>
      <c r="AQ150" s="462"/>
      <c r="AS150" s="469">
        <v>1641.19813</v>
      </c>
      <c r="AT150" s="278">
        <v>6232.0442899999998</v>
      </c>
      <c r="AU150" s="464"/>
      <c r="AV150" s="346">
        <v>2211.1912900000002</v>
      </c>
      <c r="AW150" s="346">
        <v>965.88995999999997</v>
      </c>
      <c r="AX150" s="346">
        <v>514.08645000000001</v>
      </c>
      <c r="AY150" s="346">
        <v>3691.1677</v>
      </c>
      <c r="AZ150" s="346">
        <v>914.44299999999998</v>
      </c>
      <c r="BA150" s="278">
        <v>0.94138999999999995</v>
      </c>
      <c r="BB150" s="345">
        <v>27.007240000000003</v>
      </c>
      <c r="BC150" s="278">
        <v>14.735329999999999</v>
      </c>
      <c r="BD150" s="278">
        <v>20.349330000000002</v>
      </c>
      <c r="BE150" s="346">
        <v>-16.915310000000002</v>
      </c>
      <c r="BG150" s="343">
        <v>392.78717</v>
      </c>
      <c r="BH150" s="343">
        <v>0</v>
      </c>
      <c r="BI150" s="343">
        <v>0</v>
      </c>
      <c r="BJ150" s="346">
        <v>-409.70247999999998</v>
      </c>
      <c r="BK150" s="343">
        <v>0</v>
      </c>
      <c r="BL150" s="343">
        <v>0</v>
      </c>
      <c r="BM150" s="343">
        <v>0</v>
      </c>
      <c r="BN150" s="346">
        <v>-409.70247999999998</v>
      </c>
      <c r="BP150" s="346">
        <v>-518.76985000000002</v>
      </c>
      <c r="BQ150" s="318">
        <v>-465.81721999999996</v>
      </c>
      <c r="BR150" s="278">
        <v>-448.90190999999999</v>
      </c>
      <c r="BS150" s="475">
        <v>-366.93594000000002</v>
      </c>
      <c r="BT150" s="278">
        <v>35.514189999999999</v>
      </c>
      <c r="BU150" s="278">
        <v>132.74126999999999</v>
      </c>
      <c r="BV150" s="345">
        <v>194.02689000000001</v>
      </c>
      <c r="BX150" s="278">
        <v>900</v>
      </c>
      <c r="BY150" s="483">
        <v>-6.06243</v>
      </c>
      <c r="BZ150" s="483">
        <v>900</v>
      </c>
      <c r="CA150" s="260"/>
      <c r="CB150" s="347">
        <v>9.8000000000000007</v>
      </c>
      <c r="CC150" s="486">
        <f t="shared" si="2"/>
        <v>9.8000000000000007</v>
      </c>
      <c r="CD150" s="287"/>
      <c r="CE150" s="278"/>
      <c r="CF150" s="268"/>
      <c r="CG150" s="266"/>
      <c r="CI150" s="158">
        <v>280</v>
      </c>
      <c r="CJ150" s="343">
        <v>801.04141601569188</v>
      </c>
      <c r="CK150" s="343">
        <v>1102.3138182113962</v>
      </c>
      <c r="CL150" s="343">
        <v>996.81799343441764</v>
      </c>
      <c r="CM150" s="487">
        <v>1006.3340329658478</v>
      </c>
      <c r="CN150" s="487">
        <v>1185.76698728574</v>
      </c>
      <c r="CO150" s="495">
        <v>-367.18799999999999</v>
      </c>
      <c r="CP150" s="299"/>
      <c r="CQ150" s="489">
        <v>0</v>
      </c>
      <c r="CR150" s="489">
        <v>0</v>
      </c>
    </row>
    <row r="151" spans="1:96" x14ac:dyDescent="0.2">
      <c r="A151" s="154">
        <v>498</v>
      </c>
      <c r="B151" s="156" t="s">
        <v>181</v>
      </c>
      <c r="C151" s="337">
        <v>2281</v>
      </c>
      <c r="D151" s="276">
        <v>21.5</v>
      </c>
      <c r="E151" s="185"/>
      <c r="G151" s="278">
        <v>3890.2932799999999</v>
      </c>
      <c r="H151" s="278">
        <v>22955.294690000002</v>
      </c>
      <c r="I151" s="278"/>
      <c r="J151" s="278">
        <v>8026.9517300000007</v>
      </c>
      <c r="K151" s="278">
        <v>1777.2716200000002</v>
      </c>
      <c r="L151" s="278">
        <v>1221.3793600000001</v>
      </c>
      <c r="M151" s="278">
        <v>11025.602710000001</v>
      </c>
      <c r="N151" s="278">
        <v>10354.994000000001</v>
      </c>
      <c r="O151" s="278">
        <v>1.03559</v>
      </c>
      <c r="P151" s="278">
        <v>27.272130000000001</v>
      </c>
      <c r="Q151" s="278">
        <v>250.92495000000002</v>
      </c>
      <c r="R151" s="278">
        <v>5.4989099999999995</v>
      </c>
      <c r="S151" s="278">
        <v>2534.7847999999999</v>
      </c>
      <c r="U151" s="278">
        <v>858.83704</v>
      </c>
      <c r="V151" s="278">
        <v>0</v>
      </c>
      <c r="W151" s="278">
        <v>0</v>
      </c>
      <c r="X151" s="278">
        <v>1675.94776</v>
      </c>
      <c r="Y151" s="278">
        <v>-29.54787</v>
      </c>
      <c r="Z151" s="278">
        <v>0</v>
      </c>
      <c r="AA151" s="278">
        <v>0</v>
      </c>
      <c r="AB151" s="278">
        <v>1705.4956299999999</v>
      </c>
      <c r="AD151" s="278">
        <v>3531.7062900000001</v>
      </c>
      <c r="AE151" s="157">
        <v>2466.9227999999998</v>
      </c>
      <c r="AF151" s="184">
        <v>-67.861999999999995</v>
      </c>
      <c r="AG151" s="278">
        <v>-1065.8045099999999</v>
      </c>
      <c r="AH151" s="278">
        <v>101.361</v>
      </c>
      <c r="AI151" s="184">
        <v>89.128720000000001</v>
      </c>
      <c r="AJ151" s="278">
        <v>335.84459000000004</v>
      </c>
      <c r="AL151" s="278">
        <v>5045</v>
      </c>
      <c r="AM151" s="184">
        <v>20</v>
      </c>
      <c r="AN151" s="278">
        <v>-1620</v>
      </c>
      <c r="AO151" s="355">
        <v>2325</v>
      </c>
      <c r="AP151" s="344">
        <v>8.86</v>
      </c>
      <c r="AQ151" s="462"/>
      <c r="AS151" s="469">
        <v>4002.6171300000001</v>
      </c>
      <c r="AT151" s="278">
        <v>12277.623869999999</v>
      </c>
      <c r="AU151" s="464"/>
      <c r="AV151" s="346">
        <v>4260.3010700000004</v>
      </c>
      <c r="AW151" s="346">
        <v>1008.50836</v>
      </c>
      <c r="AX151" s="346">
        <v>1236.88903</v>
      </c>
      <c r="AY151" s="346">
        <v>6505.6984599999996</v>
      </c>
      <c r="AZ151" s="346">
        <v>3800.7559999999999</v>
      </c>
      <c r="BA151" s="278">
        <v>5.4041600000000001</v>
      </c>
      <c r="BB151" s="345">
        <v>118.34034</v>
      </c>
      <c r="BC151" s="278">
        <v>8.3298299999999994</v>
      </c>
      <c r="BD151" s="278">
        <v>1.8547100000000001</v>
      </c>
      <c r="BE151" s="346">
        <v>1963.2145800000001</v>
      </c>
      <c r="BG151" s="343">
        <v>900.15200000000004</v>
      </c>
      <c r="BH151" s="343">
        <v>0</v>
      </c>
      <c r="BI151" s="346">
        <v>0</v>
      </c>
      <c r="BJ151" s="346">
        <v>1063.06258</v>
      </c>
      <c r="BK151" s="343">
        <v>-29.54787</v>
      </c>
      <c r="BL151" s="346">
        <v>500</v>
      </c>
      <c r="BM151" s="346">
        <v>0</v>
      </c>
      <c r="BN151" s="346">
        <v>592.6104499999999</v>
      </c>
      <c r="BP151" s="346">
        <v>4124.3167400000002</v>
      </c>
      <c r="BQ151" s="318">
        <v>1901.15058</v>
      </c>
      <c r="BR151" s="278">
        <v>-62.064</v>
      </c>
      <c r="BS151" s="475">
        <v>-635.56037000000003</v>
      </c>
      <c r="BT151" s="278">
        <v>-10.55673</v>
      </c>
      <c r="BU151" s="278">
        <v>66.539289999999994</v>
      </c>
      <c r="BV151" s="345">
        <v>328.70359000000002</v>
      </c>
      <c r="BX151" s="278">
        <v>3937.5</v>
      </c>
      <c r="BY151" s="483">
        <v>0</v>
      </c>
      <c r="BZ151" s="483">
        <v>-1107.5</v>
      </c>
      <c r="CA151" s="260"/>
      <c r="CB151" s="347">
        <v>8.9</v>
      </c>
      <c r="CC151" s="486">
        <f t="shared" si="2"/>
        <v>8.9</v>
      </c>
      <c r="CD151" s="287"/>
      <c r="CE151" s="278"/>
      <c r="CF151" s="268"/>
      <c r="CI151" s="158">
        <v>0</v>
      </c>
      <c r="CJ151" s="343">
        <v>3837.5135615661693</v>
      </c>
      <c r="CK151" s="343">
        <v>4495.6818822105088</v>
      </c>
      <c r="CL151" s="343">
        <v>4440.5852780541336</v>
      </c>
      <c r="CM151" s="487">
        <v>4451.3866049015624</v>
      </c>
      <c r="CN151" s="487">
        <v>4560.9088389124709</v>
      </c>
      <c r="CO151" s="495">
        <v>237.298</v>
      </c>
      <c r="CP151" s="299"/>
      <c r="CQ151" s="489">
        <v>0</v>
      </c>
      <c r="CR151" s="489">
        <v>38.227919999999997</v>
      </c>
    </row>
    <row r="152" spans="1:96" x14ac:dyDescent="0.2">
      <c r="A152" s="154">
        <v>499</v>
      </c>
      <c r="B152" s="156" t="s">
        <v>182</v>
      </c>
      <c r="C152" s="337">
        <v>19662</v>
      </c>
      <c r="D152" s="276">
        <v>20.75</v>
      </c>
      <c r="E152" s="185"/>
      <c r="G152" s="278">
        <v>20133.50274</v>
      </c>
      <c r="H152" s="278">
        <v>141820.68691999998</v>
      </c>
      <c r="I152" s="278"/>
      <c r="J152" s="278">
        <v>78332.898060000007</v>
      </c>
      <c r="K152" s="278">
        <v>5396.5775100000001</v>
      </c>
      <c r="L152" s="278">
        <v>5144.9444000000003</v>
      </c>
      <c r="M152" s="278">
        <v>88874.419970000003</v>
      </c>
      <c r="N152" s="278">
        <v>43502.822999999997</v>
      </c>
      <c r="O152" s="278">
        <v>32.816519999999997</v>
      </c>
      <c r="P152" s="278">
        <v>351.38782000000003</v>
      </c>
      <c r="Q152" s="278">
        <v>198.67831000000001</v>
      </c>
      <c r="R152" s="278">
        <v>8.2897999999999996</v>
      </c>
      <c r="S152" s="278">
        <v>11000.036749999999</v>
      </c>
      <c r="U152" s="278">
        <v>9438.4704700000002</v>
      </c>
      <c r="V152" s="278">
        <v>0</v>
      </c>
      <c r="W152" s="278">
        <v>0</v>
      </c>
      <c r="X152" s="278">
        <v>1561.56628</v>
      </c>
      <c r="Y152" s="278">
        <v>0</v>
      </c>
      <c r="Z152" s="278">
        <v>0</v>
      </c>
      <c r="AA152" s="278">
        <v>0</v>
      </c>
      <c r="AB152" s="278">
        <v>1561.56628</v>
      </c>
      <c r="AD152" s="278">
        <v>12792.916580000001</v>
      </c>
      <c r="AE152" s="157">
        <v>10110.699490000001</v>
      </c>
      <c r="AF152" s="184">
        <v>-889.33726000000001</v>
      </c>
      <c r="AG152" s="278">
        <v>-15002.335509999999</v>
      </c>
      <c r="AH152" s="278">
        <v>185.84575000000001</v>
      </c>
      <c r="AI152" s="184">
        <v>1624.5084199999999</v>
      </c>
      <c r="AJ152" s="278">
        <v>4627.2495699999999</v>
      </c>
      <c r="AL152" s="278">
        <v>88071.432000000001</v>
      </c>
      <c r="AM152" s="184">
        <v>-284.072</v>
      </c>
      <c r="AN152" s="278">
        <v>-1499.998</v>
      </c>
      <c r="AO152" s="355">
        <v>19763</v>
      </c>
      <c r="AP152" s="344">
        <v>8.11</v>
      </c>
      <c r="AQ152" s="462"/>
      <c r="AS152" s="469">
        <v>17990.321510000002</v>
      </c>
      <c r="AT152" s="278">
        <v>76041.605859999996</v>
      </c>
      <c r="AU152" s="464"/>
      <c r="AV152" s="346">
        <v>39599.359770000003</v>
      </c>
      <c r="AW152" s="346">
        <v>3219.9207999999999</v>
      </c>
      <c r="AX152" s="346">
        <v>5730.0785300000007</v>
      </c>
      <c r="AY152" s="346">
        <v>48549.359100000001</v>
      </c>
      <c r="AZ152" s="346">
        <v>24687.812000000002</v>
      </c>
      <c r="BA152" s="278">
        <v>75.384789999999995</v>
      </c>
      <c r="BB152" s="345">
        <v>1330.10268</v>
      </c>
      <c r="BC152" s="278">
        <v>89.552520000000001</v>
      </c>
      <c r="BD152" s="278">
        <v>1.0500000000000001E-2</v>
      </c>
      <c r="BE152" s="346">
        <v>14505.606330000001</v>
      </c>
      <c r="BG152" s="343">
        <v>9570.3550599999999</v>
      </c>
      <c r="BH152" s="346">
        <v>0</v>
      </c>
      <c r="BI152" s="346">
        <v>0</v>
      </c>
      <c r="BJ152" s="346">
        <v>4935.2512699999997</v>
      </c>
      <c r="BK152" s="343">
        <v>0</v>
      </c>
      <c r="BL152" s="343">
        <v>1500</v>
      </c>
      <c r="BM152" s="343">
        <v>0</v>
      </c>
      <c r="BN152" s="346">
        <v>3435.2512700000002</v>
      </c>
      <c r="BP152" s="346">
        <v>16110.313040000001</v>
      </c>
      <c r="BQ152" s="318">
        <v>14364.903390000001</v>
      </c>
      <c r="BR152" s="278">
        <v>-140.70294000000001</v>
      </c>
      <c r="BS152" s="475">
        <v>-19411.531190000002</v>
      </c>
      <c r="BT152" s="278">
        <v>652.29651000000001</v>
      </c>
      <c r="BU152" s="278">
        <v>153.66749999999999</v>
      </c>
      <c r="BV152" s="345">
        <v>550.76343999999995</v>
      </c>
      <c r="BX152" s="278">
        <v>95431.434000000008</v>
      </c>
      <c r="BY152" s="483">
        <v>-2841.46396</v>
      </c>
      <c r="BZ152" s="483">
        <v>7360.0020000000004</v>
      </c>
      <c r="CA152" s="260"/>
      <c r="CB152" s="347">
        <v>8.4</v>
      </c>
      <c r="CC152" s="486">
        <f t="shared" si="2"/>
        <v>8.4</v>
      </c>
      <c r="CD152" s="287"/>
      <c r="CE152" s="278"/>
      <c r="CF152" s="268"/>
      <c r="CI152" s="158">
        <v>0</v>
      </c>
      <c r="CJ152" s="343">
        <v>21245.43462494378</v>
      </c>
      <c r="CK152" s="343">
        <v>21665.588137054619</v>
      </c>
      <c r="CL152" s="343">
        <v>23296.983168672989</v>
      </c>
      <c r="CM152" s="487">
        <v>23904.115365943311</v>
      </c>
      <c r="CN152" s="487">
        <v>24807.402699160797</v>
      </c>
      <c r="CO152" s="495">
        <v>-1429.473</v>
      </c>
      <c r="CP152" s="299"/>
      <c r="CQ152" s="489">
        <v>438.16075000000001</v>
      </c>
      <c r="CR152" s="489">
        <v>484.89545000000004</v>
      </c>
    </row>
    <row r="153" spans="1:96" x14ac:dyDescent="0.2">
      <c r="A153" s="154">
        <v>500</v>
      </c>
      <c r="B153" s="156" t="s">
        <v>183</v>
      </c>
      <c r="C153" s="337">
        <v>10486</v>
      </c>
      <c r="D153" s="276">
        <v>19.5</v>
      </c>
      <c r="E153" s="185"/>
      <c r="G153" s="278">
        <v>9585.0484199999992</v>
      </c>
      <c r="H153" s="278">
        <v>65808.114829999991</v>
      </c>
      <c r="I153" s="278"/>
      <c r="J153" s="278">
        <v>40865.13826</v>
      </c>
      <c r="K153" s="278">
        <v>3560.5962100000002</v>
      </c>
      <c r="L153" s="278">
        <v>2575.6554799999999</v>
      </c>
      <c r="M153" s="278">
        <v>47001.389950000004</v>
      </c>
      <c r="N153" s="278">
        <v>14698.892</v>
      </c>
      <c r="O153" s="278">
        <v>32.045029999999997</v>
      </c>
      <c r="P153" s="278">
        <v>94.476190000000003</v>
      </c>
      <c r="Q153" s="278">
        <v>104.77835</v>
      </c>
      <c r="R153" s="278">
        <v>3.8176799999999997</v>
      </c>
      <c r="S153" s="278">
        <v>5841.1468299999997</v>
      </c>
      <c r="U153" s="278">
        <v>4182.8502500000004</v>
      </c>
      <c r="V153" s="278">
        <v>0</v>
      </c>
      <c r="W153" s="278">
        <v>0</v>
      </c>
      <c r="X153" s="278">
        <v>1658.2965800000002</v>
      </c>
      <c r="Y153" s="278">
        <v>0</v>
      </c>
      <c r="Z153" s="278">
        <v>0</v>
      </c>
      <c r="AA153" s="278">
        <v>0</v>
      </c>
      <c r="AB153" s="278">
        <v>1658.2965800000002</v>
      </c>
      <c r="AD153" s="278">
        <v>13333.502920000001</v>
      </c>
      <c r="AE153" s="157">
        <v>3882.7799599999998</v>
      </c>
      <c r="AF153" s="184">
        <v>-1958.3668700000001</v>
      </c>
      <c r="AG153" s="278">
        <v>-7063.6453300000003</v>
      </c>
      <c r="AH153" s="278">
        <v>140.36699999999999</v>
      </c>
      <c r="AI153" s="184">
        <v>553.42781000000002</v>
      </c>
      <c r="AJ153" s="278">
        <v>1642.7267600000002</v>
      </c>
      <c r="AL153" s="278">
        <v>14304.487140000001</v>
      </c>
      <c r="AM153" s="184">
        <v>79.691969999999998</v>
      </c>
      <c r="AN153" s="278">
        <v>-3759.6153899999999</v>
      </c>
      <c r="AO153" s="355">
        <v>10551</v>
      </c>
      <c r="AP153" s="344">
        <v>6.8600000000000012</v>
      </c>
      <c r="AQ153" s="462"/>
      <c r="AS153" s="469">
        <v>6515.8768799999998</v>
      </c>
      <c r="AT153" s="278">
        <v>36560.374979999993</v>
      </c>
      <c r="AU153" s="464"/>
      <c r="AV153" s="346">
        <v>18329.327710000001</v>
      </c>
      <c r="AW153" s="346">
        <v>2739.32762</v>
      </c>
      <c r="AX153" s="346">
        <v>2766.2692499999998</v>
      </c>
      <c r="AY153" s="346">
        <v>23834.924579999999</v>
      </c>
      <c r="AZ153" s="346">
        <v>13071.66174</v>
      </c>
      <c r="BA153" s="278">
        <v>15.235010000000001</v>
      </c>
      <c r="BB153" s="345">
        <v>737.24023</v>
      </c>
      <c r="BC153" s="278">
        <v>112.22439999999999</v>
      </c>
      <c r="BD153" s="278">
        <v>80.216070000000002</v>
      </c>
      <c r="BE153" s="346">
        <v>6220.7442499999997</v>
      </c>
      <c r="BG153" s="343">
        <v>4597.9837300000008</v>
      </c>
      <c r="BH153" s="343">
        <v>0</v>
      </c>
      <c r="BI153" s="346">
        <v>12.6</v>
      </c>
      <c r="BJ153" s="346">
        <v>1610.1605199999999</v>
      </c>
      <c r="BK153" s="346">
        <v>0</v>
      </c>
      <c r="BL153" s="343">
        <v>1600</v>
      </c>
      <c r="BM153" s="343">
        <v>0</v>
      </c>
      <c r="BN153" s="346">
        <v>10.16052</v>
      </c>
      <c r="BP153" s="346">
        <v>13615.570089999999</v>
      </c>
      <c r="BQ153" s="318">
        <v>5929.3210399999998</v>
      </c>
      <c r="BR153" s="278">
        <v>-278.82321000000002</v>
      </c>
      <c r="BS153" s="475">
        <v>-17607.928039999999</v>
      </c>
      <c r="BT153" s="278">
        <v>726.94100000000003</v>
      </c>
      <c r="BU153" s="278">
        <v>1098</v>
      </c>
      <c r="BV153" s="345">
        <v>2173.4605299999998</v>
      </c>
      <c r="BX153" s="278">
        <v>26591.66662</v>
      </c>
      <c r="BY153" s="483">
        <v>90.015910000000005</v>
      </c>
      <c r="BZ153" s="483">
        <v>12287.179480000001</v>
      </c>
      <c r="CA153" s="260"/>
      <c r="CB153" s="347">
        <v>6.9</v>
      </c>
      <c r="CC153" s="486">
        <f t="shared" si="2"/>
        <v>6.9</v>
      </c>
      <c r="CD153" s="287"/>
      <c r="CE153" s="278"/>
      <c r="CF153" s="268"/>
      <c r="CI153" s="158">
        <v>0</v>
      </c>
      <c r="CJ153" s="343">
        <v>12434.817573851282</v>
      </c>
      <c r="CK153" s="343">
        <v>12708.965334973689</v>
      </c>
      <c r="CL153" s="343">
        <v>12511.059247018358</v>
      </c>
      <c r="CM153" s="487">
        <v>12560.488011830348</v>
      </c>
      <c r="CN153" s="487">
        <v>12839.933171450508</v>
      </c>
      <c r="CO153" s="495">
        <v>-804.202</v>
      </c>
      <c r="CP153" s="299"/>
      <c r="CQ153" s="489">
        <v>325.40178000000003</v>
      </c>
      <c r="CR153" s="489">
        <v>48.652920000000002</v>
      </c>
    </row>
    <row r="154" spans="1:96" x14ac:dyDescent="0.2">
      <c r="A154" s="154">
        <v>503</v>
      </c>
      <c r="B154" s="156" t="s">
        <v>184</v>
      </c>
      <c r="C154" s="337">
        <v>7539</v>
      </c>
      <c r="D154" s="276">
        <v>21.25</v>
      </c>
      <c r="E154" s="185"/>
      <c r="G154" s="278">
        <v>5355.5034800000003</v>
      </c>
      <c r="H154" s="278">
        <v>52821.263700000003</v>
      </c>
      <c r="I154" s="278"/>
      <c r="J154" s="278">
        <v>26799.428960000001</v>
      </c>
      <c r="K154" s="278">
        <v>1851.2121200000001</v>
      </c>
      <c r="L154" s="278">
        <v>1843.66688</v>
      </c>
      <c r="M154" s="278">
        <v>30494.307960000002</v>
      </c>
      <c r="N154" s="278">
        <v>19615.595000000001</v>
      </c>
      <c r="O154" s="278">
        <v>36.125959999999999</v>
      </c>
      <c r="P154" s="278">
        <v>280.62232</v>
      </c>
      <c r="Q154" s="278">
        <v>131.54259999999999</v>
      </c>
      <c r="R154" s="278">
        <v>5.88741</v>
      </c>
      <c r="S154" s="278">
        <v>2525.3015699999996</v>
      </c>
      <c r="U154" s="278">
        <v>1746.38743</v>
      </c>
      <c r="V154" s="278">
        <v>0</v>
      </c>
      <c r="W154" s="278">
        <v>0</v>
      </c>
      <c r="X154" s="278">
        <v>778.91413999999997</v>
      </c>
      <c r="Y154" s="278">
        <v>-3.33</v>
      </c>
      <c r="Z154" s="278">
        <v>0</v>
      </c>
      <c r="AA154" s="278">
        <v>-0.36</v>
      </c>
      <c r="AB154" s="278">
        <v>782.60414000000003</v>
      </c>
      <c r="AD154" s="278">
        <v>4788.5953300000001</v>
      </c>
      <c r="AE154" s="157">
        <v>2035.6898999999999</v>
      </c>
      <c r="AF154" s="184">
        <v>-489.61167</v>
      </c>
      <c r="AG154" s="278">
        <v>-5787.2044900000001</v>
      </c>
      <c r="AH154" s="278">
        <v>0</v>
      </c>
      <c r="AI154" s="184">
        <v>647.79999999999995</v>
      </c>
      <c r="AJ154" s="278">
        <v>2193.1911399999999</v>
      </c>
      <c r="AL154" s="278">
        <v>42950.007140000002</v>
      </c>
      <c r="AM154" s="184">
        <v>0</v>
      </c>
      <c r="AN154" s="278">
        <v>4239.1029600000002</v>
      </c>
      <c r="AO154" s="355">
        <v>7515</v>
      </c>
      <c r="AP154" s="344">
        <v>8.61</v>
      </c>
      <c r="AQ154" s="462"/>
      <c r="AS154" s="469">
        <v>4217.80926</v>
      </c>
      <c r="AT154" s="278">
        <v>22860.07085</v>
      </c>
      <c r="AU154" s="464"/>
      <c r="AV154" s="346">
        <v>13935.41469</v>
      </c>
      <c r="AW154" s="346">
        <v>1186.9267399999999</v>
      </c>
      <c r="AX154" s="346">
        <v>1953.0187700000001</v>
      </c>
      <c r="AY154" s="346">
        <v>17075.360199999999</v>
      </c>
      <c r="AZ154" s="346">
        <v>4102.3940000000002</v>
      </c>
      <c r="BA154" s="278">
        <v>70.847200000000001</v>
      </c>
      <c r="BB154" s="345">
        <v>1092.2188200000001</v>
      </c>
      <c r="BC154" s="278">
        <v>40.37133</v>
      </c>
      <c r="BD154" s="278">
        <v>4.8602600000000002</v>
      </c>
      <c r="BE154" s="346">
        <v>1549.6320600000001</v>
      </c>
      <c r="BG154" s="343">
        <v>2054.3086499999999</v>
      </c>
      <c r="BH154" s="343">
        <v>0</v>
      </c>
      <c r="BI154" s="343">
        <v>0</v>
      </c>
      <c r="BJ154" s="346">
        <v>-504.67659000000003</v>
      </c>
      <c r="BK154" s="343">
        <v>-3.33</v>
      </c>
      <c r="BL154" s="343">
        <v>0</v>
      </c>
      <c r="BM154" s="343">
        <v>-0.15465999999999999</v>
      </c>
      <c r="BN154" s="346">
        <v>-501.19193000000001</v>
      </c>
      <c r="BP154" s="346">
        <v>4287.4034000000001</v>
      </c>
      <c r="BQ154" s="318">
        <v>1603.5828600000002</v>
      </c>
      <c r="BR154" s="278">
        <v>53.950800000000001</v>
      </c>
      <c r="BS154" s="475">
        <v>-4140.9552899999999</v>
      </c>
      <c r="BT154" s="278">
        <v>0</v>
      </c>
      <c r="BU154" s="278">
        <v>1100.1608799999999</v>
      </c>
      <c r="BV154" s="345">
        <v>1458.1574900000001</v>
      </c>
      <c r="BX154" s="278">
        <v>42189.110099999998</v>
      </c>
      <c r="BY154" s="483">
        <v>0</v>
      </c>
      <c r="BZ154" s="483">
        <v>-760.89704000000006</v>
      </c>
      <c r="CA154" s="260"/>
      <c r="CB154" s="347">
        <v>9.1</v>
      </c>
      <c r="CC154" s="486">
        <f t="shared" si="2"/>
        <v>9.1</v>
      </c>
      <c r="CD154" s="287"/>
      <c r="CE154" s="278"/>
      <c r="CF154" s="268"/>
      <c r="CI154" s="158">
        <v>0</v>
      </c>
      <c r="CJ154" s="343">
        <v>3887.8593091296398</v>
      </c>
      <c r="CK154" s="343">
        <v>4417.8373142752707</v>
      </c>
      <c r="CL154" s="343">
        <v>4202.6939403821152</v>
      </c>
      <c r="CM154" s="487">
        <v>4266.9569300123594</v>
      </c>
      <c r="CN154" s="487">
        <v>4900.4650375551719</v>
      </c>
      <c r="CO154" s="495">
        <v>-285.59300000000002</v>
      </c>
      <c r="CP154" s="299"/>
      <c r="CQ154" s="489">
        <v>0</v>
      </c>
      <c r="CR154" s="489">
        <v>0</v>
      </c>
    </row>
    <row r="155" spans="1:96" x14ac:dyDescent="0.2">
      <c r="A155" s="154">
        <v>504</v>
      </c>
      <c r="B155" s="156" t="s">
        <v>185</v>
      </c>
      <c r="C155" s="337">
        <v>1764</v>
      </c>
      <c r="D155" s="276">
        <v>21.5</v>
      </c>
      <c r="E155" s="185"/>
      <c r="G155" s="278">
        <v>2485.0754400000001</v>
      </c>
      <c r="H155" s="278">
        <v>15182.84755</v>
      </c>
      <c r="I155" s="278"/>
      <c r="J155" s="278">
        <v>5913.2292300000008</v>
      </c>
      <c r="K155" s="278">
        <v>730.57088999999996</v>
      </c>
      <c r="L155" s="278">
        <v>421.35273000000001</v>
      </c>
      <c r="M155" s="278">
        <v>7065.1528499999995</v>
      </c>
      <c r="N155" s="278">
        <v>5436.6859999999997</v>
      </c>
      <c r="O155" s="278">
        <v>8.6189</v>
      </c>
      <c r="P155" s="278">
        <v>54.853760000000001</v>
      </c>
      <c r="Q155" s="278">
        <v>125.24549</v>
      </c>
      <c r="R155" s="278">
        <v>1.0045599999999999</v>
      </c>
      <c r="S155" s="278">
        <v>-117.92719</v>
      </c>
      <c r="U155" s="278">
        <v>999.78449999999998</v>
      </c>
      <c r="V155" s="278">
        <v>0</v>
      </c>
      <c r="W155" s="278">
        <v>0</v>
      </c>
      <c r="X155" s="278">
        <v>-1117.7116899999999</v>
      </c>
      <c r="Y155" s="278">
        <v>0</v>
      </c>
      <c r="Z155" s="278">
        <v>-30</v>
      </c>
      <c r="AA155" s="278">
        <v>0</v>
      </c>
      <c r="AB155" s="278">
        <v>-1087.7116899999999</v>
      </c>
      <c r="AD155" s="278">
        <v>1489.0473100000002</v>
      </c>
      <c r="AE155" s="157">
        <v>-122.60219000000001</v>
      </c>
      <c r="AF155" s="184">
        <v>-4.6749999999999998</v>
      </c>
      <c r="AG155" s="278">
        <v>-1954.4089099999999</v>
      </c>
      <c r="AH155" s="278">
        <v>5.7553100000000006</v>
      </c>
      <c r="AI155" s="184">
        <v>6.3230399999999998</v>
      </c>
      <c r="AJ155" s="278">
        <v>592.55488000000003</v>
      </c>
      <c r="AL155" s="278">
        <v>9213.4549999999999</v>
      </c>
      <c r="AM155" s="184">
        <v>0</v>
      </c>
      <c r="AN155" s="278">
        <v>870.25</v>
      </c>
      <c r="AO155" s="355">
        <v>1715</v>
      </c>
      <c r="AP155" s="344">
        <v>8.86</v>
      </c>
      <c r="AQ155" s="462"/>
      <c r="AS155" s="469">
        <v>2338.9619300000004</v>
      </c>
      <c r="AT155" s="278">
        <v>7052.2885700000006</v>
      </c>
      <c r="AU155" s="464"/>
      <c r="AV155" s="346">
        <v>3145.07566</v>
      </c>
      <c r="AW155" s="346">
        <v>416.63265999999999</v>
      </c>
      <c r="AX155" s="346">
        <v>428.18146000000002</v>
      </c>
      <c r="AY155" s="346">
        <v>3989.88978</v>
      </c>
      <c r="AZ155" s="346">
        <v>1106.739</v>
      </c>
      <c r="BA155" s="278">
        <v>100.37617</v>
      </c>
      <c r="BB155" s="345">
        <v>277.23437000000001</v>
      </c>
      <c r="BC155" s="278">
        <v>115.80909</v>
      </c>
      <c r="BD155" s="278">
        <v>1.0165599999999999</v>
      </c>
      <c r="BE155" s="346">
        <v>321.23647</v>
      </c>
      <c r="BG155" s="343">
        <v>817.75890000000004</v>
      </c>
      <c r="BH155" s="343">
        <v>0</v>
      </c>
      <c r="BI155" s="343">
        <v>0</v>
      </c>
      <c r="BJ155" s="346">
        <v>-496.52242999999999</v>
      </c>
      <c r="BK155" s="346">
        <v>0</v>
      </c>
      <c r="BL155" s="343">
        <v>-30</v>
      </c>
      <c r="BM155" s="343">
        <v>0</v>
      </c>
      <c r="BN155" s="346">
        <v>-466.52242999999999</v>
      </c>
      <c r="BP155" s="346">
        <v>1022.5248800000002</v>
      </c>
      <c r="BQ155" s="318">
        <v>315.01517999999999</v>
      </c>
      <c r="BR155" s="278">
        <v>-6.2212899999999998</v>
      </c>
      <c r="BS155" s="475">
        <v>-3629.44211</v>
      </c>
      <c r="BT155" s="278">
        <v>114.26449000000001</v>
      </c>
      <c r="BU155" s="278">
        <v>164.89846</v>
      </c>
      <c r="BV155" s="345">
        <v>532.78426000000002</v>
      </c>
      <c r="BX155" s="278">
        <v>13097.039000000001</v>
      </c>
      <c r="BY155" s="483">
        <v>-156.44195999999999</v>
      </c>
      <c r="BZ155" s="483">
        <v>3883.5839999999998</v>
      </c>
      <c r="CA155" s="260"/>
      <c r="CB155" s="347">
        <v>9.9</v>
      </c>
      <c r="CC155" s="486">
        <f t="shared" si="2"/>
        <v>9.9</v>
      </c>
      <c r="CD155" s="287"/>
      <c r="CE155" s="278"/>
      <c r="CF155" s="268"/>
      <c r="CI155" s="158">
        <v>0</v>
      </c>
      <c r="CJ155" s="343">
        <v>458.41924524181053</v>
      </c>
      <c r="CK155" s="343">
        <v>539.66932372460792</v>
      </c>
      <c r="CL155" s="343">
        <v>532.2442084660363</v>
      </c>
      <c r="CM155" s="487">
        <v>519.56884144841206</v>
      </c>
      <c r="CN155" s="487">
        <v>706.47160782910328</v>
      </c>
      <c r="CO155" s="495">
        <v>-418.03100000000001</v>
      </c>
      <c r="CP155" s="299"/>
      <c r="CQ155" s="489">
        <v>0</v>
      </c>
      <c r="CR155" s="489">
        <v>0</v>
      </c>
    </row>
    <row r="156" spans="1:96" x14ac:dyDescent="0.2">
      <c r="A156" s="154">
        <v>505</v>
      </c>
      <c r="B156" s="156" t="s">
        <v>186</v>
      </c>
      <c r="C156" s="337">
        <v>20912</v>
      </c>
      <c r="D156" s="276">
        <v>21</v>
      </c>
      <c r="E156" s="185"/>
      <c r="G156" s="278">
        <v>12891.94702</v>
      </c>
      <c r="H156" s="278">
        <v>137024.63352</v>
      </c>
      <c r="I156" s="278"/>
      <c r="J156" s="278">
        <v>84963.119500000001</v>
      </c>
      <c r="K156" s="278">
        <v>6239.5250300000007</v>
      </c>
      <c r="L156" s="278">
        <v>8554.2430899999999</v>
      </c>
      <c r="M156" s="278">
        <v>99756.887620000009</v>
      </c>
      <c r="N156" s="278">
        <v>35823.319130000003</v>
      </c>
      <c r="O156" s="278">
        <v>211.68143000000001</v>
      </c>
      <c r="P156" s="278">
        <v>455.09209999999996</v>
      </c>
      <c r="Q156" s="278">
        <v>366.79604999999998</v>
      </c>
      <c r="R156" s="278">
        <v>16.234690000000001</v>
      </c>
      <c r="S156" s="278">
        <v>11559.22387</v>
      </c>
      <c r="U156" s="278">
        <v>7662.7270399999998</v>
      </c>
      <c r="V156" s="278">
        <v>0</v>
      </c>
      <c r="W156" s="278">
        <v>0</v>
      </c>
      <c r="X156" s="278">
        <v>3896.49683</v>
      </c>
      <c r="Y156" s="278">
        <v>-30.68412</v>
      </c>
      <c r="Z156" s="278">
        <v>3000</v>
      </c>
      <c r="AA156" s="278">
        <v>0</v>
      </c>
      <c r="AB156" s="278">
        <v>927.18094999999994</v>
      </c>
      <c r="AD156" s="278">
        <v>72267.103749999995</v>
      </c>
      <c r="AE156" s="157">
        <v>9910.289859999999</v>
      </c>
      <c r="AF156" s="184">
        <v>-1648.9340099999999</v>
      </c>
      <c r="AG156" s="278">
        <v>-12412.022359999999</v>
      </c>
      <c r="AH156" s="278">
        <v>335.44099999999997</v>
      </c>
      <c r="AI156" s="184">
        <v>1810.8153200000002</v>
      </c>
      <c r="AJ156" s="278">
        <v>4683.2239900000004</v>
      </c>
      <c r="AL156" s="278">
        <v>96391.417000000001</v>
      </c>
      <c r="AM156" s="184">
        <v>245.07623999999998</v>
      </c>
      <c r="AN156" s="278">
        <v>-2429.12248</v>
      </c>
      <c r="AO156" s="355">
        <v>20957</v>
      </c>
      <c r="AP156" s="344">
        <v>8.36</v>
      </c>
      <c r="AQ156" s="462"/>
      <c r="AS156" s="469">
        <v>10206.7916</v>
      </c>
      <c r="AT156" s="278">
        <v>66528.611669999998</v>
      </c>
      <c r="AU156" s="464"/>
      <c r="AV156" s="346">
        <v>41631.464919999999</v>
      </c>
      <c r="AW156" s="346">
        <v>3998.6646800000003</v>
      </c>
      <c r="AX156" s="346">
        <v>9035.6343800000013</v>
      </c>
      <c r="AY156" s="346">
        <v>54665.763979999996</v>
      </c>
      <c r="AZ156" s="346">
        <v>15206.127</v>
      </c>
      <c r="BA156" s="278">
        <v>231.86795999999998</v>
      </c>
      <c r="BB156" s="345">
        <v>402.18103000000002</v>
      </c>
      <c r="BC156" s="278">
        <v>337.30633</v>
      </c>
      <c r="BD156" s="278">
        <v>12.342979999999999</v>
      </c>
      <c r="BE156" s="346">
        <v>13779.400619999999</v>
      </c>
      <c r="BG156" s="343">
        <v>8235.4034200000006</v>
      </c>
      <c r="BH156" s="346">
        <v>0</v>
      </c>
      <c r="BI156" s="346">
        <v>0</v>
      </c>
      <c r="BJ156" s="346">
        <v>5543.9971999999998</v>
      </c>
      <c r="BK156" s="346">
        <v>-30.68412</v>
      </c>
      <c r="BL156" s="346">
        <v>5000</v>
      </c>
      <c r="BM156" s="346">
        <v>0</v>
      </c>
      <c r="BN156" s="346">
        <v>574.68131999999991</v>
      </c>
      <c r="BP156" s="346">
        <v>72841.785069999998</v>
      </c>
      <c r="BQ156" s="318">
        <v>13010.31846</v>
      </c>
      <c r="BR156" s="278">
        <v>-915.18534</v>
      </c>
      <c r="BS156" s="475">
        <v>-10344.305759999999</v>
      </c>
      <c r="BT156" s="278">
        <v>180</v>
      </c>
      <c r="BU156" s="278">
        <v>1460.191</v>
      </c>
      <c r="BV156" s="345">
        <v>2984.6104700000001</v>
      </c>
      <c r="BX156" s="278">
        <v>87723.49500000001</v>
      </c>
      <c r="BY156" s="483">
        <v>655.19279000000006</v>
      </c>
      <c r="BZ156" s="483">
        <v>-8667.9220000000005</v>
      </c>
      <c r="CA156" s="260"/>
      <c r="CB156" s="347">
        <v>8.3000000000000007</v>
      </c>
      <c r="CC156" s="486">
        <f t="shared" si="2"/>
        <v>8.3000000000000007</v>
      </c>
      <c r="CD156" s="287"/>
      <c r="CE156" s="278"/>
      <c r="CF156" s="268"/>
      <c r="CI156" s="158">
        <v>0</v>
      </c>
      <c r="CJ156" s="343">
        <v>14440.963930128435</v>
      </c>
      <c r="CK156" s="343">
        <v>14890.348441432508</v>
      </c>
      <c r="CL156" s="343">
        <v>14767.902901598589</v>
      </c>
      <c r="CM156" s="487">
        <v>14657.207579547636</v>
      </c>
      <c r="CN156" s="487">
        <v>15065.350204751483</v>
      </c>
      <c r="CO156" s="495">
        <v>-2309.614</v>
      </c>
      <c r="CP156" s="299"/>
      <c r="CQ156" s="489">
        <v>4.5529299999999999</v>
      </c>
      <c r="CR156" s="489">
        <v>74.679429999999996</v>
      </c>
    </row>
    <row r="157" spans="1:96" x14ac:dyDescent="0.2">
      <c r="A157" s="154">
        <v>508</v>
      </c>
      <c r="B157" s="156" t="s">
        <v>350</v>
      </c>
      <c r="C157" s="337">
        <v>9360</v>
      </c>
      <c r="D157" s="276">
        <v>22.499999999999996</v>
      </c>
      <c r="E157" s="185"/>
      <c r="G157" s="278">
        <v>19513.140339999998</v>
      </c>
      <c r="H157" s="278">
        <v>89221.2791</v>
      </c>
      <c r="I157" s="278"/>
      <c r="J157" s="278">
        <v>36442.697679999997</v>
      </c>
      <c r="K157" s="278">
        <v>5050.8652699999993</v>
      </c>
      <c r="L157" s="278">
        <v>3014.0218500000001</v>
      </c>
      <c r="M157" s="278">
        <v>44507.584799999997</v>
      </c>
      <c r="N157" s="278">
        <v>26720.078000000001</v>
      </c>
      <c r="O157" s="278">
        <v>132.02154000000002</v>
      </c>
      <c r="P157" s="278">
        <v>232.44687999999999</v>
      </c>
      <c r="Q157" s="278">
        <v>937.86557999999991</v>
      </c>
      <c r="R157" s="278">
        <v>19.541580000000003</v>
      </c>
      <c r="S157" s="278">
        <v>2337.4227000000001</v>
      </c>
      <c r="U157" s="278">
        <v>3247.4107000000004</v>
      </c>
      <c r="V157" s="278">
        <v>0</v>
      </c>
      <c r="W157" s="278">
        <v>0</v>
      </c>
      <c r="X157" s="278">
        <v>-909.98800000000006</v>
      </c>
      <c r="Y157" s="278">
        <v>-4.1500000000000004</v>
      </c>
      <c r="Z157" s="278">
        <v>0</v>
      </c>
      <c r="AA157" s="278">
        <v>0</v>
      </c>
      <c r="AB157" s="278">
        <v>-905.83799999999997</v>
      </c>
      <c r="AD157" s="278">
        <v>-1976.3810800000001</v>
      </c>
      <c r="AE157" s="157">
        <v>2177.1618699999999</v>
      </c>
      <c r="AF157" s="184">
        <v>-160.26083</v>
      </c>
      <c r="AG157" s="278">
        <v>-1539.7443600000001</v>
      </c>
      <c r="AH157" s="278">
        <v>111.30410000000001</v>
      </c>
      <c r="AI157" s="184">
        <v>533.34540000000004</v>
      </c>
      <c r="AJ157" s="278">
        <v>3536.4909199999997</v>
      </c>
      <c r="AL157" s="278">
        <v>38656.073960000002</v>
      </c>
      <c r="AM157" s="184">
        <v>-206.66666000000001</v>
      </c>
      <c r="AN157" s="278">
        <v>-1330.6073999999999</v>
      </c>
      <c r="AO157" s="355">
        <v>9271</v>
      </c>
      <c r="AP157" s="344">
        <v>9.86</v>
      </c>
      <c r="AQ157" s="462"/>
      <c r="AS157" s="469">
        <v>5793.2960199999998</v>
      </c>
      <c r="AT157" s="278">
        <v>26549.163969999998</v>
      </c>
      <c r="AU157" s="464"/>
      <c r="AV157" s="346">
        <v>19171.84186</v>
      </c>
      <c r="AW157" s="346">
        <v>3486.52009</v>
      </c>
      <c r="AX157" s="346">
        <v>3249.7163399999999</v>
      </c>
      <c r="AY157" s="346">
        <v>25908.078289999998</v>
      </c>
      <c r="AZ157" s="346">
        <v>1365.2080000000001</v>
      </c>
      <c r="BA157" s="278">
        <v>130.33978999999999</v>
      </c>
      <c r="BB157" s="345">
        <v>607.26231999999993</v>
      </c>
      <c r="BC157" s="278">
        <v>213.55025000000001</v>
      </c>
      <c r="BD157" s="278">
        <v>5.83894</v>
      </c>
      <c r="BE157" s="346">
        <v>6248.20712</v>
      </c>
      <c r="BG157" s="343">
        <v>3882.8510699999997</v>
      </c>
      <c r="BH157" s="343">
        <v>0</v>
      </c>
      <c r="BI157" s="343">
        <v>0</v>
      </c>
      <c r="BJ157" s="346">
        <v>2365.3560499999999</v>
      </c>
      <c r="BK157" s="346">
        <v>-4.1500000000000004</v>
      </c>
      <c r="BL157" s="343">
        <v>0</v>
      </c>
      <c r="BM157" s="343">
        <v>0</v>
      </c>
      <c r="BN157" s="346">
        <v>2369.50605</v>
      </c>
      <c r="BP157" s="346">
        <v>393.12496999999985</v>
      </c>
      <c r="BQ157" s="318">
        <v>6078.4152400000003</v>
      </c>
      <c r="BR157" s="278">
        <v>-169.79187999999999</v>
      </c>
      <c r="BS157" s="475">
        <v>-2057.87417</v>
      </c>
      <c r="BT157" s="278">
        <v>72.42</v>
      </c>
      <c r="BU157" s="278">
        <v>86.625</v>
      </c>
      <c r="BV157" s="345">
        <v>2317.6357899999998</v>
      </c>
      <c r="BX157" s="278">
        <v>33425.510999999999</v>
      </c>
      <c r="BY157" s="483">
        <v>-677.27273000000002</v>
      </c>
      <c r="BZ157" s="483">
        <v>-5230.5629600000002</v>
      </c>
      <c r="CA157" s="260"/>
      <c r="CB157" s="347">
        <v>9.9</v>
      </c>
      <c r="CC157" s="486">
        <f t="shared" si="2"/>
        <v>9.9</v>
      </c>
      <c r="CD157" s="279"/>
      <c r="CE157" s="278"/>
      <c r="CF157" s="268"/>
      <c r="CG157" s="266"/>
      <c r="CI157" s="158">
        <v>0</v>
      </c>
      <c r="CJ157" s="343">
        <v>718.98311923952565</v>
      </c>
      <c r="CK157" s="343">
        <v>1087.8906149568738</v>
      </c>
      <c r="CL157" s="343">
        <v>-741.98174491213172</v>
      </c>
      <c r="CM157" s="487">
        <v>-480.07354319898138</v>
      </c>
      <c r="CN157" s="487">
        <v>694.94565994599293</v>
      </c>
      <c r="CO157" s="495">
        <v>-705.79600000000005</v>
      </c>
      <c r="CP157" s="299"/>
      <c r="CQ157" s="489">
        <v>0</v>
      </c>
      <c r="CR157" s="489">
        <v>0</v>
      </c>
    </row>
    <row r="158" spans="1:96" x14ac:dyDescent="0.2">
      <c r="A158" s="154">
        <v>507</v>
      </c>
      <c r="B158" s="156" t="s">
        <v>187</v>
      </c>
      <c r="C158" s="337">
        <v>5564</v>
      </c>
      <c r="D158" s="276">
        <v>20.75</v>
      </c>
      <c r="E158" s="185"/>
      <c r="G158" s="278">
        <v>6623.33169</v>
      </c>
      <c r="H158" s="278">
        <v>49404.548600000002</v>
      </c>
      <c r="I158" s="278"/>
      <c r="J158" s="278">
        <v>18318.539359999999</v>
      </c>
      <c r="K158" s="278">
        <v>3793.34555</v>
      </c>
      <c r="L158" s="278">
        <v>2926.8731899999998</v>
      </c>
      <c r="M158" s="278">
        <v>25038.758100000003</v>
      </c>
      <c r="N158" s="278">
        <v>20351.734</v>
      </c>
      <c r="O158" s="278">
        <v>26.177599999999998</v>
      </c>
      <c r="P158" s="278">
        <v>153.30889999999999</v>
      </c>
      <c r="Q158" s="278">
        <v>385.58058</v>
      </c>
      <c r="R158" s="278">
        <v>11.205309999999999</v>
      </c>
      <c r="S158" s="278">
        <v>2856.5191600000003</v>
      </c>
      <c r="U158" s="278">
        <v>1488.1908600000002</v>
      </c>
      <c r="V158" s="278">
        <v>0</v>
      </c>
      <c r="W158" s="278">
        <v>0</v>
      </c>
      <c r="X158" s="278">
        <v>1368.3283000000001</v>
      </c>
      <c r="Y158" s="278">
        <v>0</v>
      </c>
      <c r="Z158" s="278">
        <v>0</v>
      </c>
      <c r="AA158" s="278">
        <v>0</v>
      </c>
      <c r="AB158" s="278">
        <v>1368.3283000000001</v>
      </c>
      <c r="AD158" s="278">
        <v>6686.88177</v>
      </c>
      <c r="AE158" s="157">
        <v>2818.5868500000001</v>
      </c>
      <c r="AF158" s="184">
        <v>-37.932310000000001</v>
      </c>
      <c r="AG158" s="278">
        <v>-901.06537000000003</v>
      </c>
      <c r="AH158" s="278">
        <v>0</v>
      </c>
      <c r="AI158" s="184">
        <v>148.54295000000002</v>
      </c>
      <c r="AJ158" s="278">
        <v>5397.5991900000008</v>
      </c>
      <c r="AL158" s="278">
        <v>20277.92009</v>
      </c>
      <c r="AM158" s="184">
        <v>87.930759999999992</v>
      </c>
      <c r="AN158" s="278">
        <v>-1902.9912199999999</v>
      </c>
      <c r="AO158" s="355">
        <v>5522</v>
      </c>
      <c r="AP158" s="344">
        <v>8.11</v>
      </c>
      <c r="AQ158" s="462"/>
      <c r="AS158" s="469">
        <v>4902.99226</v>
      </c>
      <c r="AT158" s="278">
        <v>18923.533050000002</v>
      </c>
      <c r="AU158" s="464"/>
      <c r="AV158" s="346">
        <v>8701.694300000001</v>
      </c>
      <c r="AW158" s="346">
        <v>2209.23101</v>
      </c>
      <c r="AX158" s="346">
        <v>3043.7240200000001</v>
      </c>
      <c r="AY158" s="346">
        <v>13954.64933</v>
      </c>
      <c r="AZ158" s="346">
        <v>1872.9860000000001</v>
      </c>
      <c r="BA158" s="278">
        <v>39.192819999999998</v>
      </c>
      <c r="BB158" s="345">
        <v>125.27680000000001</v>
      </c>
      <c r="BC158" s="278">
        <v>409.18263000000002</v>
      </c>
      <c r="BD158" s="278">
        <v>24.793400000000002</v>
      </c>
      <c r="BE158" s="346">
        <v>2105.3997899999999</v>
      </c>
      <c r="BG158" s="343">
        <v>2014.7388700000001</v>
      </c>
      <c r="BH158" s="343">
        <v>34.554580000000001</v>
      </c>
      <c r="BI158" s="346">
        <v>0</v>
      </c>
      <c r="BJ158" s="346">
        <v>125.21550000000001</v>
      </c>
      <c r="BK158" s="346">
        <v>0</v>
      </c>
      <c r="BL158" s="346">
        <v>0</v>
      </c>
      <c r="BM158" s="343">
        <v>0</v>
      </c>
      <c r="BN158" s="346">
        <v>125.21550000000001</v>
      </c>
      <c r="BP158" s="346">
        <v>6812.0972700000002</v>
      </c>
      <c r="BQ158" s="318">
        <v>2653.57717</v>
      </c>
      <c r="BR158" s="278">
        <v>513.62279999999998</v>
      </c>
      <c r="BS158" s="475">
        <v>-1052.0131000000001</v>
      </c>
      <c r="BT158" s="278">
        <v>0</v>
      </c>
      <c r="BU158" s="278">
        <v>47.604839999999996</v>
      </c>
      <c r="BV158" s="345">
        <v>5927.5320499999998</v>
      </c>
      <c r="BX158" s="278">
        <v>20074.002489999999</v>
      </c>
      <c r="BY158" s="483">
        <v>73.589020000000005</v>
      </c>
      <c r="BZ158" s="483">
        <v>-203.91759999999999</v>
      </c>
      <c r="CA158" s="260"/>
      <c r="CB158" s="347">
        <v>8.1</v>
      </c>
      <c r="CC158" s="486">
        <f t="shared" si="2"/>
        <v>8.1</v>
      </c>
      <c r="CD158" s="287"/>
      <c r="CE158" s="278"/>
      <c r="CF158" s="268"/>
      <c r="CI158" s="158">
        <v>0</v>
      </c>
      <c r="CJ158" s="343">
        <v>950.29200182217937</v>
      </c>
      <c r="CK158" s="343">
        <v>2041.5695187961367</v>
      </c>
      <c r="CL158" s="343">
        <v>1744.5397362939268</v>
      </c>
      <c r="CM158" s="487">
        <v>1841.1949533983914</v>
      </c>
      <c r="CN158" s="487">
        <v>2887.853850695215</v>
      </c>
      <c r="CO158" s="495">
        <v>39.518999999999998</v>
      </c>
      <c r="CP158" s="299"/>
      <c r="CQ158" s="489">
        <v>0</v>
      </c>
      <c r="CR158" s="489">
        <v>0</v>
      </c>
    </row>
    <row r="159" spans="1:96" x14ac:dyDescent="0.2">
      <c r="A159" s="154">
        <v>529</v>
      </c>
      <c r="B159" s="156" t="s">
        <v>188</v>
      </c>
      <c r="C159" s="337">
        <v>19850</v>
      </c>
      <c r="D159" s="276">
        <v>18.999999999999996</v>
      </c>
      <c r="E159" s="185"/>
      <c r="G159" s="278">
        <v>32293.38679</v>
      </c>
      <c r="H159" s="278">
        <v>140341.65253999998</v>
      </c>
      <c r="I159" s="278"/>
      <c r="J159" s="278">
        <v>84772.948519999991</v>
      </c>
      <c r="K159" s="278">
        <v>13743.389630000001</v>
      </c>
      <c r="L159" s="278">
        <v>7418.39941</v>
      </c>
      <c r="M159" s="278">
        <v>105934.73756000001</v>
      </c>
      <c r="N159" s="278">
        <v>21116.363000000001</v>
      </c>
      <c r="O159" s="278">
        <v>735.08776999999998</v>
      </c>
      <c r="P159" s="278">
        <v>354.48488000000003</v>
      </c>
      <c r="Q159" s="278">
        <v>1763.04393</v>
      </c>
      <c r="R159" s="278">
        <v>-1026.3140799999999</v>
      </c>
      <c r="S159" s="278">
        <v>22790.653870000002</v>
      </c>
      <c r="U159" s="278">
        <v>14071.293710000002</v>
      </c>
      <c r="V159" s="278">
        <v>0</v>
      </c>
      <c r="W159" s="278">
        <v>0</v>
      </c>
      <c r="X159" s="278">
        <v>8719.3601600000002</v>
      </c>
      <c r="Y159" s="278">
        <v>-66.71772</v>
      </c>
      <c r="Z159" s="278">
        <v>8000</v>
      </c>
      <c r="AA159" s="278">
        <v>0</v>
      </c>
      <c r="AB159" s="278">
        <v>786.07788000000005</v>
      </c>
      <c r="AD159" s="278">
        <v>62618.073760000007</v>
      </c>
      <c r="AE159" s="157">
        <v>20288.134710000002</v>
      </c>
      <c r="AF159" s="184">
        <v>-2502.5191600000003</v>
      </c>
      <c r="AG159" s="278">
        <v>-23140.443360000001</v>
      </c>
      <c r="AH159" s="278">
        <v>23.202500000000001</v>
      </c>
      <c r="AI159" s="184">
        <v>1660.7856399999998</v>
      </c>
      <c r="AJ159" s="278">
        <v>7617.9479000000001</v>
      </c>
      <c r="AL159" s="278">
        <v>5500</v>
      </c>
      <c r="AM159" s="184">
        <v>351</v>
      </c>
      <c r="AN159" s="278">
        <v>-6500</v>
      </c>
      <c r="AO159" s="355">
        <v>19999</v>
      </c>
      <c r="AP159" s="344">
        <v>6.36</v>
      </c>
      <c r="AQ159" s="462"/>
      <c r="AS159" s="469">
        <v>23186.73947</v>
      </c>
      <c r="AT159" s="278">
        <v>66527.280119999996</v>
      </c>
      <c r="AU159" s="464"/>
      <c r="AV159" s="346">
        <v>37322.379520000002</v>
      </c>
      <c r="AW159" s="346">
        <v>8315.8129200000003</v>
      </c>
      <c r="AX159" s="346">
        <v>7658.1097300000001</v>
      </c>
      <c r="AY159" s="346">
        <v>53296.302170000003</v>
      </c>
      <c r="AZ159" s="346">
        <v>8914.7430000000004</v>
      </c>
      <c r="BA159" s="278">
        <v>1169.6334299999999</v>
      </c>
      <c r="BB159" s="345">
        <v>1.8166900000000001</v>
      </c>
      <c r="BC159" s="278">
        <v>1301.70616</v>
      </c>
      <c r="BD159" s="278">
        <v>16.38738</v>
      </c>
      <c r="BE159" s="346">
        <v>21744.127700000001</v>
      </c>
      <c r="BG159" s="343">
        <v>11354.03966</v>
      </c>
      <c r="BH159" s="343">
        <v>0</v>
      </c>
      <c r="BI159" s="343">
        <v>0</v>
      </c>
      <c r="BJ159" s="346">
        <v>10390.088039999999</v>
      </c>
      <c r="BK159" s="343">
        <v>1152.9820300000001</v>
      </c>
      <c r="BL159" s="343">
        <v>8700</v>
      </c>
      <c r="BM159" s="343">
        <v>0</v>
      </c>
      <c r="BN159" s="346">
        <v>537.10600999999997</v>
      </c>
      <c r="BP159" s="346">
        <v>63155.179770000002</v>
      </c>
      <c r="BQ159" s="318">
        <v>20414.435819999999</v>
      </c>
      <c r="BR159" s="278">
        <v>-1329.6918799999999</v>
      </c>
      <c r="BS159" s="475">
        <v>-15035.894380000002</v>
      </c>
      <c r="BT159" s="278">
        <v>51.60427</v>
      </c>
      <c r="BU159" s="278">
        <v>1487.835</v>
      </c>
      <c r="BV159" s="345">
        <v>7236.7458899999992</v>
      </c>
      <c r="BX159" s="278">
        <v>0</v>
      </c>
      <c r="BY159" s="483">
        <v>271.56809999999996</v>
      </c>
      <c r="BZ159" s="483">
        <v>-5500</v>
      </c>
      <c r="CA159" s="260"/>
      <c r="CB159" s="347">
        <v>6.4</v>
      </c>
      <c r="CC159" s="486">
        <f t="shared" si="2"/>
        <v>6.4</v>
      </c>
      <c r="CD159" s="287"/>
      <c r="CE159" s="278"/>
      <c r="CF159" s="268"/>
      <c r="CI159" s="158">
        <v>0</v>
      </c>
      <c r="CJ159" s="343">
        <v>9603.5402153437808</v>
      </c>
      <c r="CK159" s="343">
        <v>11170.305718260359</v>
      </c>
      <c r="CL159" s="343">
        <v>9296.4199060768678</v>
      </c>
      <c r="CM159" s="487">
        <v>8878.5091910069259</v>
      </c>
      <c r="CN159" s="487">
        <v>9468.6747948108314</v>
      </c>
      <c r="CO159" s="495">
        <v>-988.26199999999994</v>
      </c>
      <c r="CP159" s="299"/>
      <c r="CQ159" s="489">
        <v>617.85816</v>
      </c>
      <c r="CR159" s="489">
        <v>420.48765999999995</v>
      </c>
    </row>
    <row r="160" spans="1:96" x14ac:dyDescent="0.2">
      <c r="A160" s="154">
        <v>531</v>
      </c>
      <c r="B160" s="156" t="s">
        <v>189</v>
      </c>
      <c r="C160" s="337">
        <v>5072</v>
      </c>
      <c r="D160" s="276">
        <v>21.75</v>
      </c>
      <c r="E160" s="185"/>
      <c r="G160" s="278">
        <v>4424.6272800000006</v>
      </c>
      <c r="H160" s="278">
        <v>37821.19397</v>
      </c>
      <c r="I160" s="278"/>
      <c r="J160" s="278">
        <v>19162.59981</v>
      </c>
      <c r="K160" s="278">
        <v>994.22226000000001</v>
      </c>
      <c r="L160" s="278">
        <v>1614.61985</v>
      </c>
      <c r="M160" s="278">
        <v>21771.441920000001</v>
      </c>
      <c r="N160" s="278">
        <v>13539.646000000001</v>
      </c>
      <c r="O160" s="278">
        <v>24.526139999999998</v>
      </c>
      <c r="P160" s="278">
        <v>45.146720000000002</v>
      </c>
      <c r="Q160" s="278">
        <v>118.48383</v>
      </c>
      <c r="R160" s="278">
        <v>1.1023399999999999</v>
      </c>
      <c r="S160" s="278">
        <v>2011.2821399999998</v>
      </c>
      <c r="U160" s="278">
        <v>1192.15338</v>
      </c>
      <c r="V160" s="278">
        <v>0</v>
      </c>
      <c r="W160" s="278">
        <v>0</v>
      </c>
      <c r="X160" s="278">
        <v>819.12876000000006</v>
      </c>
      <c r="Y160" s="278">
        <v>-19.586470000000002</v>
      </c>
      <c r="Z160" s="278">
        <v>0</v>
      </c>
      <c r="AA160" s="278">
        <v>0</v>
      </c>
      <c r="AB160" s="278">
        <v>838.71523000000002</v>
      </c>
      <c r="AD160" s="278">
        <v>5191.68876</v>
      </c>
      <c r="AE160" s="157">
        <v>1695.35832</v>
      </c>
      <c r="AF160" s="184">
        <v>-315.92382000000003</v>
      </c>
      <c r="AG160" s="278">
        <v>-11.366389999999999</v>
      </c>
      <c r="AH160" s="278">
        <v>0</v>
      </c>
      <c r="AI160" s="184">
        <v>425.18526000000003</v>
      </c>
      <c r="AJ160" s="278">
        <v>6472.37003</v>
      </c>
      <c r="AL160" s="278">
        <v>6450</v>
      </c>
      <c r="AM160" s="184">
        <v>41.286000000000001</v>
      </c>
      <c r="AN160" s="278">
        <v>-1500</v>
      </c>
      <c r="AO160" s="355">
        <v>4966</v>
      </c>
      <c r="AP160" s="344">
        <v>9.11</v>
      </c>
      <c r="AQ160" s="462"/>
      <c r="AS160" s="469">
        <v>3013.9887100000001</v>
      </c>
      <c r="AT160" s="278">
        <v>14650.319599999999</v>
      </c>
      <c r="AU160" s="464"/>
      <c r="AV160" s="346">
        <v>9937.7374600000003</v>
      </c>
      <c r="AW160" s="346">
        <v>701.79595999999992</v>
      </c>
      <c r="AX160" s="346">
        <v>1659.12922</v>
      </c>
      <c r="AY160" s="346">
        <v>12298.66264</v>
      </c>
      <c r="AZ160" s="346">
        <v>2098.8870000000002</v>
      </c>
      <c r="BA160" s="278">
        <v>176.24439999999998</v>
      </c>
      <c r="BB160" s="345">
        <v>72.938059999999993</v>
      </c>
      <c r="BC160" s="278">
        <v>129.8357</v>
      </c>
      <c r="BD160" s="278">
        <v>5.4942099999999998</v>
      </c>
      <c r="BE160" s="346">
        <v>2988.8665799999999</v>
      </c>
      <c r="BG160" s="343">
        <v>1181.4932900000001</v>
      </c>
      <c r="BH160" s="343">
        <v>0</v>
      </c>
      <c r="BI160" s="343">
        <v>0</v>
      </c>
      <c r="BJ160" s="346">
        <v>1807.37329</v>
      </c>
      <c r="BK160" s="343">
        <v>-19.491349999999997</v>
      </c>
      <c r="BL160" s="343">
        <v>0</v>
      </c>
      <c r="BM160" s="343">
        <v>0</v>
      </c>
      <c r="BN160" s="346">
        <v>1826.86464</v>
      </c>
      <c r="BP160" s="346">
        <v>7018.5533999999998</v>
      </c>
      <c r="BQ160" s="318">
        <v>3053.19443</v>
      </c>
      <c r="BR160" s="278">
        <v>64.327849999999998</v>
      </c>
      <c r="BS160" s="475">
        <v>-1080.32527</v>
      </c>
      <c r="BT160" s="278">
        <v>22.5</v>
      </c>
      <c r="BU160" s="278">
        <v>925.55044999999996</v>
      </c>
      <c r="BV160" s="345">
        <v>5378.1331500000006</v>
      </c>
      <c r="BX160" s="278">
        <v>3950</v>
      </c>
      <c r="BY160" s="483">
        <v>133.78937999999999</v>
      </c>
      <c r="BZ160" s="483">
        <v>-2500</v>
      </c>
      <c r="CA160" s="260"/>
      <c r="CB160" s="347">
        <v>9.1</v>
      </c>
      <c r="CC160" s="486">
        <f t="shared" si="2"/>
        <v>9.1</v>
      </c>
      <c r="CD160" s="287"/>
      <c r="CE160" s="278"/>
      <c r="CF160" s="268"/>
      <c r="CI160" s="158">
        <v>0</v>
      </c>
      <c r="CJ160" s="343">
        <v>819.7083720424032</v>
      </c>
      <c r="CK160" s="343">
        <v>1264.4001968496173</v>
      </c>
      <c r="CL160" s="343">
        <v>1350.1188474251603</v>
      </c>
      <c r="CM160" s="487">
        <v>1392.7660935559684</v>
      </c>
      <c r="CN160" s="487">
        <v>2014.1192985576263</v>
      </c>
      <c r="CO160" s="495">
        <v>-286.25</v>
      </c>
      <c r="CP160" s="299"/>
      <c r="CQ160" s="489">
        <v>0</v>
      </c>
      <c r="CR160" s="489">
        <v>0</v>
      </c>
    </row>
    <row r="161" spans="1:96" x14ac:dyDescent="0.2">
      <c r="A161" s="271">
        <v>535</v>
      </c>
      <c r="B161" s="268" t="s">
        <v>190</v>
      </c>
      <c r="C161" s="337">
        <v>10419</v>
      </c>
      <c r="D161" s="276">
        <v>22</v>
      </c>
      <c r="E161" s="318"/>
      <c r="F161" s="268"/>
      <c r="G161" s="278">
        <v>11246.608259999999</v>
      </c>
      <c r="H161" s="278">
        <v>88619.198879999996</v>
      </c>
      <c r="I161" s="278"/>
      <c r="J161" s="278">
        <v>31490.371940000001</v>
      </c>
      <c r="K161" s="278">
        <v>2306.9480099999996</v>
      </c>
      <c r="L161" s="278">
        <v>2529.4532899999999</v>
      </c>
      <c r="M161" s="278">
        <v>36326.773240000002</v>
      </c>
      <c r="N161" s="278">
        <v>43940.074999999997</v>
      </c>
      <c r="O161" s="278">
        <v>66.35508999999999</v>
      </c>
      <c r="P161" s="278">
        <v>228.91632000000001</v>
      </c>
      <c r="Q161" s="278">
        <v>739.10748999999998</v>
      </c>
      <c r="R161" s="278">
        <v>1550.5869599999999</v>
      </c>
      <c r="S161" s="278">
        <v>2029.5380700000001</v>
      </c>
      <c r="T161" s="268"/>
      <c r="U161" s="278">
        <v>2742.5746400000003</v>
      </c>
      <c r="V161" s="278">
        <v>0</v>
      </c>
      <c r="W161" s="278">
        <v>0</v>
      </c>
      <c r="X161" s="278">
        <v>-713.03656999999998</v>
      </c>
      <c r="Y161" s="278">
        <v>-2.0379999999999998</v>
      </c>
      <c r="Z161" s="278">
        <v>0</v>
      </c>
      <c r="AA161" s="278">
        <v>0</v>
      </c>
      <c r="AB161" s="278">
        <v>-710.99856999999997</v>
      </c>
      <c r="AC161" s="268"/>
      <c r="AD161" s="278">
        <v>11527.04919</v>
      </c>
      <c r="AE161" s="318">
        <v>1785.21406</v>
      </c>
      <c r="AF161" s="278">
        <v>-244.32401000000002</v>
      </c>
      <c r="AG161" s="278">
        <v>-9572.6535000000003</v>
      </c>
      <c r="AH161" s="278">
        <v>0</v>
      </c>
      <c r="AI161" s="278">
        <v>553.08806000000004</v>
      </c>
      <c r="AJ161" s="278">
        <v>19952.534339999998</v>
      </c>
      <c r="AK161" s="268"/>
      <c r="AL161" s="278">
        <v>63799.256000000001</v>
      </c>
      <c r="AM161" s="278">
        <v>0</v>
      </c>
      <c r="AN161" s="278">
        <v>5299.6260000000002</v>
      </c>
      <c r="AO161" s="355">
        <v>10454</v>
      </c>
      <c r="AP161" s="344">
        <v>9.36</v>
      </c>
      <c r="AQ161" s="460"/>
      <c r="AS161" s="469">
        <v>5092.1640099999995</v>
      </c>
      <c r="AT161" s="278">
        <v>39935.8819</v>
      </c>
      <c r="AU161" s="464"/>
      <c r="AV161" s="346">
        <v>16812.58986</v>
      </c>
      <c r="AW161" s="346">
        <v>1608.6145200000001</v>
      </c>
      <c r="AX161" s="346">
        <v>2754.22073</v>
      </c>
      <c r="AY161" s="346">
        <v>21175.42511</v>
      </c>
      <c r="AZ161" s="346">
        <v>16443.27</v>
      </c>
      <c r="BA161" s="278">
        <v>251.78998999999999</v>
      </c>
      <c r="BB161" s="345">
        <v>1222.21228</v>
      </c>
      <c r="BC161" s="278">
        <v>1359.25442</v>
      </c>
      <c r="BD161" s="278">
        <v>-339.81225000000001</v>
      </c>
      <c r="BE161" s="346">
        <v>3658.7552900000001</v>
      </c>
      <c r="BG161" s="343">
        <v>2931.9757599999998</v>
      </c>
      <c r="BH161" s="343">
        <v>0</v>
      </c>
      <c r="BI161" s="346">
        <v>0</v>
      </c>
      <c r="BJ161" s="346">
        <v>726.77953000000002</v>
      </c>
      <c r="BK161" s="346">
        <v>-2.0379999999999998</v>
      </c>
      <c r="BL161" s="343">
        <v>0</v>
      </c>
      <c r="BM161" s="343">
        <v>0</v>
      </c>
      <c r="BN161" s="346">
        <v>728.81753000000003</v>
      </c>
      <c r="BP161" s="346">
        <v>12255.86672</v>
      </c>
      <c r="BQ161" s="318">
        <v>3623.7331800000002</v>
      </c>
      <c r="BR161" s="278">
        <v>-35.022109999999998</v>
      </c>
      <c r="BS161" s="475">
        <v>-9878.8173100000004</v>
      </c>
      <c r="BT161" s="278">
        <v>129.88976</v>
      </c>
      <c r="BU161" s="278">
        <v>2872.0366200000003</v>
      </c>
      <c r="BV161" s="345">
        <v>21331.771339999999</v>
      </c>
      <c r="BX161" s="278">
        <v>73648.881999999998</v>
      </c>
      <c r="BY161" s="483">
        <v>0</v>
      </c>
      <c r="BZ161" s="483">
        <v>9849.6260000000002</v>
      </c>
      <c r="CA161" s="260"/>
      <c r="CB161" s="347">
        <v>9.9</v>
      </c>
      <c r="CC161" s="486">
        <f t="shared" si="2"/>
        <v>9.9</v>
      </c>
      <c r="CD161" s="287"/>
      <c r="CE161" s="278"/>
      <c r="CF161" s="268"/>
      <c r="CG161" s="266"/>
      <c r="CH161" s="268"/>
      <c r="CI161" s="266">
        <v>0</v>
      </c>
      <c r="CJ161" s="343">
        <v>15624.884345535604</v>
      </c>
      <c r="CK161" s="343">
        <v>16367.529648100444</v>
      </c>
      <c r="CL161" s="343">
        <v>16882.841496351939</v>
      </c>
      <c r="CM161" s="487">
        <v>16909.74863219024</v>
      </c>
      <c r="CN161" s="487">
        <v>17934.135816151371</v>
      </c>
      <c r="CO161" s="495">
        <v>-694.14</v>
      </c>
      <c r="CP161" s="299"/>
      <c r="CQ161" s="489">
        <v>109.32114999999999</v>
      </c>
      <c r="CR161" s="489">
        <v>155.13369</v>
      </c>
    </row>
    <row r="162" spans="1:96" x14ac:dyDescent="0.2">
      <c r="A162" s="154">
        <v>536</v>
      </c>
      <c r="B162" s="156" t="s">
        <v>191</v>
      </c>
      <c r="C162" s="337">
        <v>35346</v>
      </c>
      <c r="D162" s="276">
        <v>21</v>
      </c>
      <c r="E162" s="185"/>
      <c r="G162" s="278">
        <v>41279.975299999991</v>
      </c>
      <c r="H162" s="278">
        <v>236877.11171</v>
      </c>
      <c r="I162" s="278"/>
      <c r="J162" s="278">
        <v>142744.46871000002</v>
      </c>
      <c r="K162" s="278">
        <v>11660.55622</v>
      </c>
      <c r="L162" s="278">
        <v>10032.56234</v>
      </c>
      <c r="M162" s="278">
        <v>164437.58727000002</v>
      </c>
      <c r="N162" s="278">
        <v>52313.243000000002</v>
      </c>
      <c r="O162" s="278">
        <v>198.22315</v>
      </c>
      <c r="P162" s="278">
        <v>647.0059</v>
      </c>
      <c r="Q162" s="278">
        <v>1307.72381</v>
      </c>
      <c r="R162" s="278">
        <v>529.63826000000006</v>
      </c>
      <c r="S162" s="278">
        <v>24120.20102</v>
      </c>
      <c r="U162" s="278">
        <v>13623.81811</v>
      </c>
      <c r="V162" s="278">
        <v>0</v>
      </c>
      <c r="W162" s="278">
        <v>0</v>
      </c>
      <c r="X162" s="278">
        <v>10496.38291</v>
      </c>
      <c r="Y162" s="278">
        <v>-67.20796</v>
      </c>
      <c r="Z162" s="278">
        <v>0</v>
      </c>
      <c r="AA162" s="278">
        <v>0</v>
      </c>
      <c r="AB162" s="278">
        <v>10563.59087</v>
      </c>
      <c r="AD162" s="278">
        <v>34209.760829999999</v>
      </c>
      <c r="AE162" s="157">
        <v>14174.419810000001</v>
      </c>
      <c r="AF162" s="184">
        <v>-9945.781210000001</v>
      </c>
      <c r="AG162" s="278">
        <v>-23136.01859</v>
      </c>
      <c r="AH162" s="278">
        <v>1675.69813</v>
      </c>
      <c r="AI162" s="184">
        <v>10920.95391</v>
      </c>
      <c r="AJ162" s="278">
        <v>41525.489159999997</v>
      </c>
      <c r="AL162" s="278">
        <v>111543.00087999999</v>
      </c>
      <c r="AM162" s="184">
        <v>-4217.6354900000006</v>
      </c>
      <c r="AN162" s="278">
        <v>3564.2180199999998</v>
      </c>
      <c r="AO162" s="355">
        <v>35647</v>
      </c>
      <c r="AP162" s="344">
        <v>8.36</v>
      </c>
      <c r="AQ162" s="462"/>
      <c r="AS162" s="469">
        <v>23224.334709999999</v>
      </c>
      <c r="AT162" s="278">
        <v>112574.76041</v>
      </c>
      <c r="AU162" s="464"/>
      <c r="AV162" s="346">
        <v>74334.891780000005</v>
      </c>
      <c r="AW162" s="346">
        <v>6861.4023399999996</v>
      </c>
      <c r="AX162" s="346">
        <v>10525.23727</v>
      </c>
      <c r="AY162" s="346">
        <v>91721.531390000004</v>
      </c>
      <c r="AZ162" s="346">
        <v>19453.826000000001</v>
      </c>
      <c r="BA162" s="278">
        <v>505.69193999999999</v>
      </c>
      <c r="BB162" s="345">
        <v>1116.3162</v>
      </c>
      <c r="BC162" s="278">
        <v>1788.98307</v>
      </c>
      <c r="BD162" s="278">
        <v>363.98864000000003</v>
      </c>
      <c r="BE162" s="346">
        <v>25323.06034</v>
      </c>
      <c r="BG162" s="343">
        <v>14460.109960000002</v>
      </c>
      <c r="BH162" s="343">
        <v>0</v>
      </c>
      <c r="BI162" s="343">
        <v>0</v>
      </c>
      <c r="BJ162" s="346">
        <v>10862.95038</v>
      </c>
      <c r="BK162" s="343">
        <v>-67.20796</v>
      </c>
      <c r="BL162" s="343">
        <v>0</v>
      </c>
      <c r="BM162" s="346">
        <v>0</v>
      </c>
      <c r="BN162" s="346">
        <v>10930.15834</v>
      </c>
      <c r="BP162" s="346">
        <v>45139.919170000001</v>
      </c>
      <c r="BQ162" s="318">
        <v>21660.091629999999</v>
      </c>
      <c r="BR162" s="278">
        <v>-3662.9687100000001</v>
      </c>
      <c r="BS162" s="475">
        <v>-28604.247829999997</v>
      </c>
      <c r="BT162" s="278">
        <v>932.58361000000002</v>
      </c>
      <c r="BU162" s="278">
        <v>3725.9252200000001</v>
      </c>
      <c r="BV162" s="345">
        <v>19806.808829999998</v>
      </c>
      <c r="BX162" s="278">
        <v>102057.1133</v>
      </c>
      <c r="BY162" s="483">
        <v>1569.0602900000001</v>
      </c>
      <c r="BZ162" s="483">
        <v>-9485.8875800000005</v>
      </c>
      <c r="CA162" s="260"/>
      <c r="CB162" s="347">
        <v>8.4</v>
      </c>
      <c r="CC162" s="486">
        <f t="shared" si="2"/>
        <v>8.4</v>
      </c>
      <c r="CD162" s="287"/>
      <c r="CE162" s="278"/>
      <c r="CF162" s="268"/>
      <c r="CI162" s="158">
        <v>0</v>
      </c>
      <c r="CJ162" s="343">
        <v>18828.494038015775</v>
      </c>
      <c r="CK162" s="343">
        <v>21648.076446112158</v>
      </c>
      <c r="CL162" s="343">
        <v>22185.188866212091</v>
      </c>
      <c r="CM162" s="487">
        <v>21885.984513684285</v>
      </c>
      <c r="CN162" s="487">
        <v>22416.674253658915</v>
      </c>
      <c r="CO162" s="495">
        <v>-2057.886</v>
      </c>
      <c r="CP162" s="299"/>
      <c r="CQ162" s="489">
        <v>2637.2043599999997</v>
      </c>
      <c r="CR162" s="489">
        <v>2683.75848</v>
      </c>
    </row>
    <row r="163" spans="1:96" x14ac:dyDescent="0.2">
      <c r="A163" s="154">
        <v>538</v>
      </c>
      <c r="B163" s="156" t="s">
        <v>192</v>
      </c>
      <c r="C163" s="337">
        <v>4644</v>
      </c>
      <c r="D163" s="276">
        <v>21.499999999999996</v>
      </c>
      <c r="E163" s="185"/>
      <c r="G163" s="278">
        <v>2858.1017200000001</v>
      </c>
      <c r="H163" s="278">
        <v>32217.872769999998</v>
      </c>
      <c r="I163" s="278"/>
      <c r="J163" s="278">
        <v>17998.71989</v>
      </c>
      <c r="K163" s="278">
        <v>584.83695999999998</v>
      </c>
      <c r="L163" s="278">
        <v>934.08023000000003</v>
      </c>
      <c r="M163" s="278">
        <v>19517.637079999997</v>
      </c>
      <c r="N163" s="278">
        <v>11099.569</v>
      </c>
      <c r="O163" s="278">
        <v>18.515990000000002</v>
      </c>
      <c r="P163" s="278">
        <v>67.192440000000005</v>
      </c>
      <c r="Q163" s="278">
        <v>65.85911999999999</v>
      </c>
      <c r="R163" s="278">
        <v>64.932760000000002</v>
      </c>
      <c r="S163" s="278">
        <v>1264.9081799999999</v>
      </c>
      <c r="U163" s="278">
        <v>1514.4196200000001</v>
      </c>
      <c r="V163" s="278">
        <v>0</v>
      </c>
      <c r="W163" s="278">
        <v>0</v>
      </c>
      <c r="X163" s="278">
        <v>-249.51143999999999</v>
      </c>
      <c r="Y163" s="278">
        <v>-58.078620000000001</v>
      </c>
      <c r="Z163" s="278">
        <v>0</v>
      </c>
      <c r="AA163" s="278">
        <v>0</v>
      </c>
      <c r="AB163" s="278">
        <v>-191.43282000000002</v>
      </c>
      <c r="AD163" s="278">
        <v>2462.74845</v>
      </c>
      <c r="AE163" s="157">
        <v>1134.4031200000002</v>
      </c>
      <c r="AF163" s="184">
        <v>-130.50505999999999</v>
      </c>
      <c r="AG163" s="278">
        <v>-1404.70346</v>
      </c>
      <c r="AH163" s="278">
        <v>19.998000000000001</v>
      </c>
      <c r="AI163" s="184">
        <v>166.93700000000001</v>
      </c>
      <c r="AJ163" s="278">
        <v>230.35279999999995</v>
      </c>
      <c r="AL163" s="278">
        <v>19306.305660000002</v>
      </c>
      <c r="AM163" s="184">
        <v>27.77778</v>
      </c>
      <c r="AN163" s="278">
        <v>448.39600000000002</v>
      </c>
      <c r="AO163" s="355">
        <v>4695</v>
      </c>
      <c r="AP163" s="344">
        <v>8.86</v>
      </c>
      <c r="AQ163" s="462"/>
      <c r="AS163" s="469">
        <v>2676.6103399999997</v>
      </c>
      <c r="AT163" s="278">
        <v>17374.22596</v>
      </c>
      <c r="AU163" s="464"/>
      <c r="AV163" s="346">
        <v>9289.4956600000005</v>
      </c>
      <c r="AW163" s="346">
        <v>360.99196000000001</v>
      </c>
      <c r="AX163" s="346">
        <v>916.89092000000005</v>
      </c>
      <c r="AY163" s="346">
        <v>10567.37854</v>
      </c>
      <c r="AZ163" s="346">
        <v>5672.4489999999996</v>
      </c>
      <c r="BA163" s="278">
        <v>34.159269999999999</v>
      </c>
      <c r="BB163" s="345">
        <v>329.23394000000002</v>
      </c>
      <c r="BC163" s="278">
        <v>12.288740000000001</v>
      </c>
      <c r="BD163" s="278">
        <v>51.28857</v>
      </c>
      <c r="BE163" s="346">
        <v>1250.3494099999998</v>
      </c>
      <c r="BG163" s="343">
        <v>2098.6582999999996</v>
      </c>
      <c r="BH163" s="346">
        <v>0</v>
      </c>
      <c r="BI163" s="343">
        <v>85.215570000000014</v>
      </c>
      <c r="BJ163" s="346">
        <v>-933.52445999999998</v>
      </c>
      <c r="BK163" s="346">
        <v>-114.39933000000001</v>
      </c>
      <c r="BL163" s="343">
        <v>0</v>
      </c>
      <c r="BM163" s="343">
        <v>0</v>
      </c>
      <c r="BN163" s="346">
        <v>-819.12513000000001</v>
      </c>
      <c r="BP163" s="346">
        <v>1643.6233200000001</v>
      </c>
      <c r="BQ163" s="318">
        <v>1215.77358</v>
      </c>
      <c r="BR163" s="278">
        <v>50.639739999999996</v>
      </c>
      <c r="BS163" s="475">
        <v>-3156.38481</v>
      </c>
      <c r="BT163" s="278">
        <v>0</v>
      </c>
      <c r="BU163" s="278">
        <v>673.17326000000003</v>
      </c>
      <c r="BV163" s="345">
        <v>9800.6934000000001</v>
      </c>
      <c r="BX163" s="278">
        <v>29754.701659999999</v>
      </c>
      <c r="BY163" s="483">
        <v>220.02878000000001</v>
      </c>
      <c r="BZ163" s="483">
        <v>10448.396000000001</v>
      </c>
      <c r="CA163" s="260"/>
      <c r="CB163" s="347">
        <v>9.1</v>
      </c>
      <c r="CC163" s="486">
        <f t="shared" si="2"/>
        <v>9.1</v>
      </c>
      <c r="CD163" s="287"/>
      <c r="CE163" s="278"/>
      <c r="CF163" s="268"/>
      <c r="CI163" s="158">
        <v>0</v>
      </c>
      <c r="CJ163" s="343">
        <v>5862.0127917791579</v>
      </c>
      <c r="CK163" s="343">
        <v>5887.8350285350352</v>
      </c>
      <c r="CL163" s="343">
        <v>5803.131829616601</v>
      </c>
      <c r="CM163" s="487">
        <v>5870.8149449302309</v>
      </c>
      <c r="CN163" s="487">
        <v>6120.5343418055018</v>
      </c>
      <c r="CO163" s="495">
        <v>1103.922</v>
      </c>
      <c r="CP163" s="299"/>
      <c r="CQ163" s="489">
        <v>55.223239999999997</v>
      </c>
      <c r="CR163" s="489">
        <v>42.21199</v>
      </c>
    </row>
    <row r="164" spans="1:96" x14ac:dyDescent="0.2">
      <c r="A164" s="154">
        <v>541</v>
      </c>
      <c r="B164" s="156" t="s">
        <v>193</v>
      </c>
      <c r="C164" s="337">
        <v>9243</v>
      </c>
      <c r="D164" s="276">
        <v>21</v>
      </c>
      <c r="E164" s="185"/>
      <c r="G164" s="278">
        <v>9900.3343100000002</v>
      </c>
      <c r="H164" s="278">
        <v>84013.786680000005</v>
      </c>
      <c r="I164" s="278"/>
      <c r="J164" s="278">
        <v>26474.485239999998</v>
      </c>
      <c r="K164" s="278">
        <v>4911.8796400000001</v>
      </c>
      <c r="L164" s="278">
        <v>2209.3397</v>
      </c>
      <c r="M164" s="278">
        <v>33595.704579999998</v>
      </c>
      <c r="N164" s="278">
        <v>43650.48</v>
      </c>
      <c r="O164" s="278">
        <v>327.27080999999998</v>
      </c>
      <c r="P164" s="278">
        <v>163.47585999999998</v>
      </c>
      <c r="Q164" s="278">
        <v>525.71778000000006</v>
      </c>
      <c r="R164" s="278">
        <v>15.182169999999999</v>
      </c>
      <c r="S164" s="278">
        <v>3848.8061299999999</v>
      </c>
      <c r="U164" s="278">
        <v>4750.1723700000002</v>
      </c>
      <c r="V164" s="278">
        <v>0</v>
      </c>
      <c r="W164" s="278">
        <v>0</v>
      </c>
      <c r="X164" s="278">
        <v>-901.36623999999995</v>
      </c>
      <c r="Y164" s="278">
        <v>358.58267000000001</v>
      </c>
      <c r="Z164" s="278">
        <v>-1000</v>
      </c>
      <c r="AA164" s="278">
        <v>-4.3016899999999998</v>
      </c>
      <c r="AB164" s="278">
        <v>-255.64722</v>
      </c>
      <c r="AD164" s="278">
        <v>15167.771839999999</v>
      </c>
      <c r="AE164" s="157">
        <v>4075.5240800000001</v>
      </c>
      <c r="AF164" s="184">
        <v>226.71795</v>
      </c>
      <c r="AG164" s="278">
        <v>-4453.4695300000003</v>
      </c>
      <c r="AH164" s="278">
        <v>474.94956999999999</v>
      </c>
      <c r="AI164" s="184">
        <v>119.19938</v>
      </c>
      <c r="AJ164" s="278">
        <v>1514.1114399999999</v>
      </c>
      <c r="AL164" s="278">
        <v>17223.430769999999</v>
      </c>
      <c r="AM164" s="184">
        <v>75.649740000000008</v>
      </c>
      <c r="AN164" s="278">
        <v>-559.59322999999995</v>
      </c>
      <c r="AO164" s="355">
        <v>9130</v>
      </c>
      <c r="AP164" s="344">
        <v>8.36</v>
      </c>
      <c r="AQ164" s="462"/>
      <c r="AS164" s="469">
        <v>6780.3340699999999</v>
      </c>
      <c r="AT164" s="278">
        <v>32899.337679999997</v>
      </c>
      <c r="AU164" s="464"/>
      <c r="AV164" s="346">
        <v>13034.502960000002</v>
      </c>
      <c r="AW164" s="346">
        <v>3021.5607500000001</v>
      </c>
      <c r="AX164" s="346">
        <v>2249.78791</v>
      </c>
      <c r="AY164" s="346">
        <v>18305.851620000001</v>
      </c>
      <c r="AZ164" s="346">
        <v>13534.293</v>
      </c>
      <c r="BA164" s="278">
        <v>792.21011999999996</v>
      </c>
      <c r="BB164" s="345">
        <v>377.42518999999999</v>
      </c>
      <c r="BC164" s="278">
        <v>568.52935000000002</v>
      </c>
      <c r="BD164" s="278">
        <v>16.568680000000001</v>
      </c>
      <c r="BE164" s="346">
        <v>6751.8616099999999</v>
      </c>
      <c r="BG164" s="343">
        <v>5895.6536599999999</v>
      </c>
      <c r="BH164" s="346">
        <v>0</v>
      </c>
      <c r="BI164" s="343">
        <v>0</v>
      </c>
      <c r="BJ164" s="346">
        <v>856.20794999999998</v>
      </c>
      <c r="BK164" s="346">
        <v>-690.58536000000004</v>
      </c>
      <c r="BL164" s="346">
        <v>1000</v>
      </c>
      <c r="BM164" s="343">
        <v>36</v>
      </c>
      <c r="BN164" s="346">
        <v>510.79331000000002</v>
      </c>
      <c r="BP164" s="346">
        <v>15678.565149999999</v>
      </c>
      <c r="BQ164" s="318">
        <v>6279.8458499999997</v>
      </c>
      <c r="BR164" s="278">
        <v>-472.01576</v>
      </c>
      <c r="BS164" s="475">
        <v>-3615.7397299999998</v>
      </c>
      <c r="BT164" s="278">
        <v>9.8000000000000007</v>
      </c>
      <c r="BU164" s="278">
        <v>590.11532999999997</v>
      </c>
      <c r="BV164" s="345">
        <v>1822.7378000000001</v>
      </c>
      <c r="BX164" s="278">
        <v>18369.28673</v>
      </c>
      <c r="BY164" s="483">
        <v>-2497.6012999999998</v>
      </c>
      <c r="BZ164" s="483">
        <v>1145.8559599999999</v>
      </c>
      <c r="CA164" s="260"/>
      <c r="CB164" s="347">
        <v>8.9</v>
      </c>
      <c r="CC164" s="486">
        <f t="shared" si="2"/>
        <v>8.9</v>
      </c>
      <c r="CD164" s="287"/>
      <c r="CE164" s="278"/>
      <c r="CF164" s="268"/>
      <c r="CI164" s="158">
        <v>0</v>
      </c>
      <c r="CJ164" s="343">
        <v>11275.772872948241</v>
      </c>
      <c r="CK164" s="343">
        <v>11954.164542426581</v>
      </c>
      <c r="CL164" s="343">
        <v>11871.940813239404</v>
      </c>
      <c r="CM164" s="487">
        <v>11684.317225585604</v>
      </c>
      <c r="CN164" s="487">
        <v>13179.267348706491</v>
      </c>
      <c r="CO164" s="495">
        <v>-548.37599999999998</v>
      </c>
      <c r="CP164" s="299"/>
      <c r="CQ164" s="489">
        <v>41.743360000000003</v>
      </c>
      <c r="CR164" s="489">
        <v>63.975000000000001</v>
      </c>
    </row>
    <row r="165" spans="1:96" x14ac:dyDescent="0.2">
      <c r="A165" s="154">
        <v>543</v>
      </c>
      <c r="B165" s="156" t="s">
        <v>194</v>
      </c>
      <c r="C165" s="337">
        <v>44458</v>
      </c>
      <c r="D165" s="276">
        <v>19.75</v>
      </c>
      <c r="E165" s="185"/>
      <c r="G165" s="278">
        <v>36136.928650000002</v>
      </c>
      <c r="H165" s="278">
        <v>278540.23851</v>
      </c>
      <c r="I165" s="278"/>
      <c r="J165" s="278">
        <v>196529.86609999998</v>
      </c>
      <c r="K165" s="278">
        <v>13385.02376</v>
      </c>
      <c r="L165" s="278">
        <v>12667.079029999999</v>
      </c>
      <c r="M165" s="278">
        <v>222581.96888999999</v>
      </c>
      <c r="N165" s="278">
        <v>45725.264000000003</v>
      </c>
      <c r="O165" s="278">
        <v>0.50451000000000001</v>
      </c>
      <c r="P165" s="278">
        <v>721.94077000000004</v>
      </c>
      <c r="Q165" s="278">
        <v>2615.9945400000001</v>
      </c>
      <c r="R165" s="278">
        <v>479.98553999999996</v>
      </c>
      <c r="S165" s="278">
        <v>29179.43477</v>
      </c>
      <c r="U165" s="278">
        <v>20779.089920000002</v>
      </c>
      <c r="V165" s="278">
        <v>0</v>
      </c>
      <c r="W165" s="278">
        <v>0</v>
      </c>
      <c r="X165" s="278">
        <v>8400.3448499999995</v>
      </c>
      <c r="Y165" s="278">
        <v>-12.5</v>
      </c>
      <c r="Z165" s="278">
        <v>5000</v>
      </c>
      <c r="AA165" s="278">
        <v>0</v>
      </c>
      <c r="AB165" s="278">
        <v>3412.84485</v>
      </c>
      <c r="AD165" s="278">
        <v>47345.127829999998</v>
      </c>
      <c r="AE165" s="157">
        <v>24561.76179</v>
      </c>
      <c r="AF165" s="184">
        <v>-4617.6729999999998</v>
      </c>
      <c r="AG165" s="278">
        <v>-40485.159829999997</v>
      </c>
      <c r="AH165" s="278">
        <v>2641.0227599999998</v>
      </c>
      <c r="AI165" s="184">
        <v>7121.6235999999999</v>
      </c>
      <c r="AJ165" s="278">
        <v>44952.941469999998</v>
      </c>
      <c r="AL165" s="278">
        <v>227920.10756000003</v>
      </c>
      <c r="AM165" s="184">
        <v>-13.71</v>
      </c>
      <c r="AN165" s="278">
        <v>10655.540560000001</v>
      </c>
      <c r="AO165" s="355">
        <v>44785</v>
      </c>
      <c r="AP165" s="344">
        <v>7.1100000000000012</v>
      </c>
      <c r="AQ165" s="462"/>
      <c r="AS165" s="469">
        <v>44791.178459999996</v>
      </c>
      <c r="AT165" s="278">
        <v>142700.66753999999</v>
      </c>
      <c r="AU165" s="464"/>
      <c r="AV165" s="346">
        <v>92194.752370000002</v>
      </c>
      <c r="AW165" s="346">
        <v>9382.3246799999997</v>
      </c>
      <c r="AX165" s="346">
        <v>13630.50123</v>
      </c>
      <c r="AY165" s="346">
        <v>115207.57828</v>
      </c>
      <c r="AZ165" s="346">
        <v>31506.621999999999</v>
      </c>
      <c r="BA165" s="278">
        <v>43.795019999999994</v>
      </c>
      <c r="BB165" s="345">
        <v>3093.0785900000001</v>
      </c>
      <c r="BC165" s="278">
        <v>2799.4043300000003</v>
      </c>
      <c r="BD165" s="278">
        <v>36.669309999999996</v>
      </c>
      <c r="BE165" s="346">
        <v>49056.022960000002</v>
      </c>
      <c r="BG165" s="343">
        <v>25760.549449999999</v>
      </c>
      <c r="BH165" s="343">
        <v>0</v>
      </c>
      <c r="BI165" s="343">
        <v>225.44319000000002</v>
      </c>
      <c r="BJ165" s="346">
        <v>23070.030320000002</v>
      </c>
      <c r="BK165" s="346">
        <v>-12.5</v>
      </c>
      <c r="BL165" s="343">
        <v>8000</v>
      </c>
      <c r="BM165" s="343">
        <v>0</v>
      </c>
      <c r="BN165" s="346">
        <v>15082.53032</v>
      </c>
      <c r="BP165" s="346">
        <v>62471.876539999997</v>
      </c>
      <c r="BQ165" s="318">
        <v>34499.633529999999</v>
      </c>
      <c r="BR165" s="278">
        <v>-14330.946240000001</v>
      </c>
      <c r="BS165" s="475">
        <v>-36049.222729999994</v>
      </c>
      <c r="BT165" s="278">
        <v>1023.0980999999999</v>
      </c>
      <c r="BU165" s="278">
        <v>23587.422489999997</v>
      </c>
      <c r="BV165" s="345">
        <v>27748.909159999999</v>
      </c>
      <c r="BX165" s="278">
        <v>194195.18935</v>
      </c>
      <c r="BY165" s="483">
        <v>-7.7</v>
      </c>
      <c r="BZ165" s="483">
        <v>-33724.918250000002</v>
      </c>
      <c r="CA165" s="260"/>
      <c r="CB165" s="347">
        <v>7.5</v>
      </c>
      <c r="CC165" s="486">
        <f t="shared" si="2"/>
        <v>7.5</v>
      </c>
      <c r="CD165" s="287"/>
      <c r="CE165" s="278"/>
      <c r="CF165" s="268"/>
      <c r="CI165" s="158">
        <v>0</v>
      </c>
      <c r="CJ165" s="343">
        <v>31025.49981111653</v>
      </c>
      <c r="CK165" s="343">
        <v>33189.240217255319</v>
      </c>
      <c r="CL165" s="343">
        <v>32636.87276794112</v>
      </c>
      <c r="CM165" s="487">
        <v>32639.524163916507</v>
      </c>
      <c r="CN165" s="487">
        <v>34882.617529244424</v>
      </c>
      <c r="CO165" s="495">
        <v>-8131.8190000000004</v>
      </c>
      <c r="CP165" s="299"/>
      <c r="CQ165" s="489">
        <v>1860.9390000000001</v>
      </c>
      <c r="CR165" s="489">
        <v>537.86031000000003</v>
      </c>
    </row>
    <row r="166" spans="1:96" x14ac:dyDescent="0.2">
      <c r="A166" s="154">
        <v>545</v>
      </c>
      <c r="B166" s="156" t="s">
        <v>195</v>
      </c>
      <c r="C166" s="337">
        <v>9584</v>
      </c>
      <c r="D166" s="276">
        <v>21</v>
      </c>
      <c r="E166" s="185"/>
      <c r="G166" s="278">
        <v>12787.77247</v>
      </c>
      <c r="H166" s="278">
        <v>78202.906909999991</v>
      </c>
      <c r="I166" s="278"/>
      <c r="J166" s="278">
        <v>28768.767239999997</v>
      </c>
      <c r="K166" s="278">
        <v>5008.8223099999996</v>
      </c>
      <c r="L166" s="278">
        <v>4216.8957099999998</v>
      </c>
      <c r="M166" s="278">
        <v>37994.485260000001</v>
      </c>
      <c r="N166" s="278">
        <v>37642.654999999999</v>
      </c>
      <c r="O166" s="278">
        <v>155.12546</v>
      </c>
      <c r="P166" s="278">
        <v>335.50178000000005</v>
      </c>
      <c r="Q166" s="278">
        <v>520.55334000000005</v>
      </c>
      <c r="R166" s="278">
        <v>705.13265999999999</v>
      </c>
      <c r="S166" s="278">
        <v>9857.0501800000002</v>
      </c>
      <c r="U166" s="278">
        <v>4069.4664500000003</v>
      </c>
      <c r="V166" s="278">
        <v>0</v>
      </c>
      <c r="W166" s="278">
        <v>0</v>
      </c>
      <c r="X166" s="278">
        <v>5787.5837300000003</v>
      </c>
      <c r="Y166" s="278">
        <v>4578.6869999999999</v>
      </c>
      <c r="Z166" s="278">
        <v>-1000</v>
      </c>
      <c r="AA166" s="278">
        <v>0</v>
      </c>
      <c r="AB166" s="278">
        <v>2208.8967299999999</v>
      </c>
      <c r="AD166" s="278">
        <v>19405.462230000001</v>
      </c>
      <c r="AE166" s="157">
        <v>9422.1913000000004</v>
      </c>
      <c r="AF166" s="184">
        <v>-434.85888</v>
      </c>
      <c r="AG166" s="278">
        <v>-13070.18374</v>
      </c>
      <c r="AH166" s="278">
        <v>408.70400000000001</v>
      </c>
      <c r="AI166" s="184">
        <v>1865.6369999999999</v>
      </c>
      <c r="AJ166" s="278">
        <v>26559.395619999999</v>
      </c>
      <c r="AL166" s="278">
        <v>47350.677120000008</v>
      </c>
      <c r="AM166" s="184">
        <v>33.714599999999997</v>
      </c>
      <c r="AN166" s="278">
        <v>2380.8760200000002</v>
      </c>
      <c r="AO166" s="355">
        <v>9621</v>
      </c>
      <c r="AP166" s="344">
        <v>8.36</v>
      </c>
      <c r="AQ166" s="462"/>
      <c r="AS166" s="469">
        <v>10104.91526</v>
      </c>
      <c r="AT166" s="278">
        <v>38194.986779999999</v>
      </c>
      <c r="AU166" s="464"/>
      <c r="AV166" s="346">
        <v>15162.13609</v>
      </c>
      <c r="AW166" s="346">
        <v>3152.7173299999999</v>
      </c>
      <c r="AX166" s="346">
        <v>4615.4677899999997</v>
      </c>
      <c r="AY166" s="346">
        <v>22930.321210000002</v>
      </c>
      <c r="AZ166" s="346">
        <v>16113.304</v>
      </c>
      <c r="BA166" s="278">
        <v>58.905379999999994</v>
      </c>
      <c r="BB166" s="345">
        <v>929.63463000000002</v>
      </c>
      <c r="BC166" s="278">
        <v>658.5764200000001</v>
      </c>
      <c r="BD166" s="278">
        <v>0.79124000000000005</v>
      </c>
      <c r="BE166" s="346">
        <v>10740.609619999999</v>
      </c>
      <c r="BG166" s="343">
        <v>4822.6412499999997</v>
      </c>
      <c r="BH166" s="343">
        <v>0</v>
      </c>
      <c r="BI166" s="343">
        <v>0</v>
      </c>
      <c r="BJ166" s="346">
        <v>5917.9683700000005</v>
      </c>
      <c r="BK166" s="346">
        <v>2196.1719600000001</v>
      </c>
      <c r="BL166" s="343">
        <v>-2000</v>
      </c>
      <c r="BM166" s="343">
        <v>3000</v>
      </c>
      <c r="BN166" s="346">
        <v>2721.7964099999999</v>
      </c>
      <c r="BP166" s="346">
        <v>22127.25864</v>
      </c>
      <c r="BQ166" s="318">
        <v>10654.46614</v>
      </c>
      <c r="BR166" s="278">
        <v>-86.143479999999997</v>
      </c>
      <c r="BS166" s="475">
        <v>-10675.445400000001</v>
      </c>
      <c r="BT166" s="278">
        <v>238.04870000000003</v>
      </c>
      <c r="BU166" s="278">
        <v>205.82688000000002</v>
      </c>
      <c r="BV166" s="345">
        <v>24431.017090000001</v>
      </c>
      <c r="BX166" s="278">
        <v>47411.674010000002</v>
      </c>
      <c r="BY166" s="483">
        <v>50.572629999999997</v>
      </c>
      <c r="BZ166" s="483">
        <v>60.99689</v>
      </c>
      <c r="CA166" s="260"/>
      <c r="CB166" s="347">
        <v>8.4</v>
      </c>
      <c r="CC166" s="486">
        <f t="shared" si="2"/>
        <v>8.4</v>
      </c>
      <c r="CD166" s="287"/>
      <c r="CE166" s="278"/>
      <c r="CF166" s="268"/>
      <c r="CI166" s="158">
        <v>0</v>
      </c>
      <c r="CJ166" s="343">
        <v>16854.69604543236</v>
      </c>
      <c r="CK166" s="343">
        <v>17853.348911067416</v>
      </c>
      <c r="CL166" s="343">
        <v>17539.58788142632</v>
      </c>
      <c r="CM166" s="487">
        <v>18147.774641998574</v>
      </c>
      <c r="CN166" s="487">
        <v>18805.438173247032</v>
      </c>
      <c r="CO166" s="495">
        <v>372.11399999999998</v>
      </c>
      <c r="CP166" s="299"/>
      <c r="CQ166" s="489">
        <v>0</v>
      </c>
      <c r="CR166" s="489">
        <v>0</v>
      </c>
    </row>
    <row r="167" spans="1:96" x14ac:dyDescent="0.2">
      <c r="A167" s="271">
        <v>560</v>
      </c>
      <c r="B167" s="268" t="s">
        <v>196</v>
      </c>
      <c r="C167" s="337">
        <v>15735</v>
      </c>
      <c r="D167" s="276">
        <v>21.249999999999996</v>
      </c>
      <c r="E167" s="318"/>
      <c r="F167" s="317"/>
      <c r="G167" s="278">
        <v>9828.1251400000001</v>
      </c>
      <c r="H167" s="278">
        <v>108977.48286</v>
      </c>
      <c r="I167" s="278"/>
      <c r="J167" s="278">
        <v>55607.733840000001</v>
      </c>
      <c r="K167" s="278">
        <v>4501.6403200000004</v>
      </c>
      <c r="L167" s="278">
        <v>4584.2097000000003</v>
      </c>
      <c r="M167" s="278">
        <v>64693.583859999999</v>
      </c>
      <c r="N167" s="278">
        <v>39182.313999999998</v>
      </c>
      <c r="O167" s="278">
        <v>157.75534999999999</v>
      </c>
      <c r="P167" s="278">
        <v>411.10378000000003</v>
      </c>
      <c r="Q167" s="278">
        <v>1085.54358</v>
      </c>
      <c r="R167" s="278">
        <v>56.136859999999999</v>
      </c>
      <c r="S167" s="278">
        <v>5502.59843</v>
      </c>
      <c r="T167" s="317"/>
      <c r="U167" s="278">
        <v>6143.5405599999995</v>
      </c>
      <c r="V167" s="278">
        <v>0</v>
      </c>
      <c r="W167" s="278">
        <v>0</v>
      </c>
      <c r="X167" s="278">
        <v>-640.94213000000002</v>
      </c>
      <c r="Y167" s="278">
        <v>-64.937660000000008</v>
      </c>
      <c r="Z167" s="278">
        <v>0</v>
      </c>
      <c r="AA167" s="278">
        <v>0</v>
      </c>
      <c r="AB167" s="278">
        <v>-576.00446999999997</v>
      </c>
      <c r="AC167" s="317"/>
      <c r="AD167" s="278">
        <v>10905.909740000001</v>
      </c>
      <c r="AE167" s="476">
        <v>5065.2289099999998</v>
      </c>
      <c r="AF167" s="345">
        <v>-437.36952000000002</v>
      </c>
      <c r="AG167" s="278">
        <v>-12898.080199999999</v>
      </c>
      <c r="AH167" s="278">
        <v>235.63</v>
      </c>
      <c r="AI167" s="345">
        <v>897.85884999999996</v>
      </c>
      <c r="AJ167" s="278">
        <v>6828.8054499999998</v>
      </c>
      <c r="AK167" s="317"/>
      <c r="AL167" s="278">
        <v>72331.624459999992</v>
      </c>
      <c r="AM167" s="345">
        <v>-2418.1547500000001</v>
      </c>
      <c r="AN167" s="278">
        <v>7333.6687599999996</v>
      </c>
      <c r="AO167" s="355">
        <v>15669</v>
      </c>
      <c r="AP167" s="344">
        <v>8.61</v>
      </c>
      <c r="AQ167" s="460"/>
      <c r="AR167" s="466"/>
      <c r="AS167" s="469">
        <v>9180.3210500000005</v>
      </c>
      <c r="AT167" s="278">
        <v>50266.613140000001</v>
      </c>
      <c r="AU167" s="465"/>
      <c r="AV167" s="345">
        <v>28015.626629999999</v>
      </c>
      <c r="AW167" s="345">
        <v>2853.4095299999999</v>
      </c>
      <c r="AX167" s="345">
        <v>4694.6601900000005</v>
      </c>
      <c r="AY167" s="345">
        <v>35563.696349999998</v>
      </c>
      <c r="AZ167" s="345">
        <v>13607.596</v>
      </c>
      <c r="BA167" s="345">
        <v>663.18808000000001</v>
      </c>
      <c r="BB167" s="345">
        <v>928.28985999999998</v>
      </c>
      <c r="BC167" s="345">
        <v>726.94461999999999</v>
      </c>
      <c r="BD167" s="345">
        <v>21.949870000000001</v>
      </c>
      <c r="BE167" s="345">
        <v>8524.8932299999997</v>
      </c>
      <c r="BF167" s="466"/>
      <c r="BG167" s="345">
        <v>8375.0962099999997</v>
      </c>
      <c r="BH167" s="345">
        <v>0</v>
      </c>
      <c r="BI167" s="345">
        <v>0</v>
      </c>
      <c r="BJ167" s="345">
        <v>149.79702</v>
      </c>
      <c r="BK167" s="345">
        <v>-103.20753000000001</v>
      </c>
      <c r="BL167" s="345">
        <v>0</v>
      </c>
      <c r="BM167" s="345">
        <v>0</v>
      </c>
      <c r="BN167" s="345">
        <v>253.00454999999999</v>
      </c>
      <c r="BO167" s="466"/>
      <c r="BP167" s="345">
        <v>11201.60987</v>
      </c>
      <c r="BQ167" s="476">
        <v>8352.0318399999996</v>
      </c>
      <c r="BR167" s="345">
        <v>-172.86139</v>
      </c>
      <c r="BS167" s="345">
        <v>-13210.005279999999</v>
      </c>
      <c r="BT167" s="345">
        <v>264.11</v>
      </c>
      <c r="BU167" s="345">
        <v>8350.6458899999998</v>
      </c>
      <c r="BV167" s="345">
        <v>5108.6026400000001</v>
      </c>
      <c r="BW167" s="466"/>
      <c r="BX167" s="345">
        <v>68894.765469999998</v>
      </c>
      <c r="BY167" s="483">
        <v>-477.19671</v>
      </c>
      <c r="BZ167" s="484">
        <v>-3436.8589900000002</v>
      </c>
      <c r="CA167" s="319"/>
      <c r="CB167" s="347">
        <v>8.6999999999999993</v>
      </c>
      <c r="CC167" s="486">
        <f t="shared" si="2"/>
        <v>8.6999999999999993</v>
      </c>
      <c r="CD167" s="320"/>
      <c r="CE167" s="278"/>
      <c r="CF167" s="268"/>
      <c r="CG167" s="317"/>
      <c r="CH167" s="317"/>
      <c r="CI167" s="317">
        <v>0</v>
      </c>
      <c r="CJ167" s="345">
        <v>11528.495741189156</v>
      </c>
      <c r="CK167" s="345">
        <v>12837.215281824967</v>
      </c>
      <c r="CL167" s="343">
        <v>12821.621743984029</v>
      </c>
      <c r="CM167" s="487">
        <v>13211.693223546965</v>
      </c>
      <c r="CN167" s="487">
        <v>14555.217190874526</v>
      </c>
      <c r="CO167" s="495">
        <v>-1723.6289999999999</v>
      </c>
      <c r="CP167" s="299"/>
      <c r="CQ167" s="489">
        <v>0</v>
      </c>
      <c r="CR167" s="489">
        <v>0</v>
      </c>
    </row>
    <row r="168" spans="1:96" x14ac:dyDescent="0.2">
      <c r="A168" s="154">
        <v>561</v>
      </c>
      <c r="B168" s="156" t="s">
        <v>197</v>
      </c>
      <c r="C168" s="337">
        <v>1317</v>
      </c>
      <c r="D168" s="276">
        <v>21</v>
      </c>
      <c r="E168" s="185"/>
      <c r="G168" s="278">
        <v>1420.6762699999999</v>
      </c>
      <c r="H168" s="278">
        <v>10289.36537</v>
      </c>
      <c r="I168" s="278"/>
      <c r="J168" s="278">
        <v>3958.6971400000002</v>
      </c>
      <c r="K168" s="278">
        <v>809.85072000000002</v>
      </c>
      <c r="L168" s="278">
        <v>386.33865000000003</v>
      </c>
      <c r="M168" s="278">
        <v>5154.8865099999994</v>
      </c>
      <c r="N168" s="278">
        <v>4257.4610000000002</v>
      </c>
      <c r="O168" s="278">
        <v>0</v>
      </c>
      <c r="P168" s="278">
        <v>39.226980000000005</v>
      </c>
      <c r="Q168" s="278">
        <v>13.928700000000001</v>
      </c>
      <c r="R168" s="278">
        <v>2.30707</v>
      </c>
      <c r="S168" s="278">
        <v>516.05305999999996</v>
      </c>
      <c r="U168" s="278">
        <v>452.75301000000002</v>
      </c>
      <c r="V168" s="278">
        <v>0</v>
      </c>
      <c r="W168" s="278">
        <v>0</v>
      </c>
      <c r="X168" s="278">
        <v>63.300050000000006</v>
      </c>
      <c r="Y168" s="278">
        <v>-15.13692</v>
      </c>
      <c r="Z168" s="278">
        <v>0</v>
      </c>
      <c r="AA168" s="278">
        <v>0</v>
      </c>
      <c r="AB168" s="278">
        <v>78.436970000000002</v>
      </c>
      <c r="AD168" s="278">
        <v>763.66978000000006</v>
      </c>
      <c r="AE168" s="157">
        <v>516.05305999999996</v>
      </c>
      <c r="AF168" s="184">
        <v>0</v>
      </c>
      <c r="AG168" s="278">
        <v>-391.53098999999997</v>
      </c>
      <c r="AH168" s="278">
        <v>0.16</v>
      </c>
      <c r="AI168" s="184">
        <v>12.396049999999999</v>
      </c>
      <c r="AJ168" s="278">
        <v>22.911849999999998</v>
      </c>
      <c r="AL168" s="278">
        <v>2829.3390800000002</v>
      </c>
      <c r="AM168" s="184">
        <v>0</v>
      </c>
      <c r="AN168" s="278">
        <v>-484.74946</v>
      </c>
      <c r="AO168" s="355">
        <v>1315</v>
      </c>
      <c r="AP168" s="344">
        <v>8.36</v>
      </c>
      <c r="AQ168" s="462"/>
      <c r="AS168" s="469">
        <v>1153.97282</v>
      </c>
      <c r="AT168" s="278">
        <v>5285.29025</v>
      </c>
      <c r="AU168" s="464"/>
      <c r="AV168" s="346">
        <v>2060.80044</v>
      </c>
      <c r="AW168" s="346">
        <v>535.27705000000003</v>
      </c>
      <c r="AX168" s="346">
        <v>378.58326</v>
      </c>
      <c r="AY168" s="346">
        <v>2974.66075</v>
      </c>
      <c r="AZ168" s="346">
        <v>1806.799</v>
      </c>
      <c r="BA168" s="278">
        <v>0</v>
      </c>
      <c r="BB168" s="345">
        <v>105.79930999999999</v>
      </c>
      <c r="BC168" s="278">
        <v>2.3832100000000001</v>
      </c>
      <c r="BD168" s="278">
        <v>7.5</v>
      </c>
      <c r="BE168" s="346">
        <v>539.22622000000001</v>
      </c>
      <c r="BG168" s="343">
        <v>485.63718999999998</v>
      </c>
      <c r="BH168" s="343">
        <v>350</v>
      </c>
      <c r="BI168" s="343">
        <v>0</v>
      </c>
      <c r="BJ168" s="346">
        <v>403.58903000000004</v>
      </c>
      <c r="BK168" s="343">
        <v>-15.13692</v>
      </c>
      <c r="BL168" s="343">
        <v>0</v>
      </c>
      <c r="BM168" s="343">
        <v>0</v>
      </c>
      <c r="BN168" s="346">
        <v>418.72595000000001</v>
      </c>
      <c r="BP168" s="346">
        <v>1182.3957300000002</v>
      </c>
      <c r="BQ168" s="318">
        <v>889.56295</v>
      </c>
      <c r="BR168" s="278">
        <v>0.33673000000000003</v>
      </c>
      <c r="BS168" s="475">
        <v>-505.77987000000002</v>
      </c>
      <c r="BT168" s="278">
        <v>0</v>
      </c>
      <c r="BU168" s="278">
        <v>0.6</v>
      </c>
      <c r="BV168" s="345">
        <v>13.255459999999999</v>
      </c>
      <c r="BX168" s="278">
        <v>2808.8561200000004</v>
      </c>
      <c r="BY168" s="483">
        <v>0</v>
      </c>
      <c r="BZ168" s="483">
        <v>-20.482959999999999</v>
      </c>
      <c r="CA168" s="260"/>
      <c r="CB168" s="347">
        <v>8.4</v>
      </c>
      <c r="CC168" s="486">
        <f t="shared" si="2"/>
        <v>8.4</v>
      </c>
      <c r="CD168" s="287"/>
      <c r="CE168" s="278"/>
      <c r="CF168" s="268"/>
      <c r="CI168" s="158">
        <v>0</v>
      </c>
      <c r="CJ168" s="343">
        <v>1808.1451154624417</v>
      </c>
      <c r="CK168" s="343">
        <v>1981.1440643628519</v>
      </c>
      <c r="CL168" s="343">
        <v>1780.2966517477741</v>
      </c>
      <c r="CM168" s="487">
        <v>1836.5266990729112</v>
      </c>
      <c r="CN168" s="487">
        <v>1850.9175243870702</v>
      </c>
      <c r="CO168" s="495">
        <v>-272.60599999999999</v>
      </c>
      <c r="CP168" s="299"/>
      <c r="CQ168" s="489">
        <v>0</v>
      </c>
      <c r="CR168" s="489">
        <v>0</v>
      </c>
    </row>
    <row r="169" spans="1:96" x14ac:dyDescent="0.2">
      <c r="A169" s="154">
        <v>562</v>
      </c>
      <c r="B169" s="156" t="s">
        <v>198</v>
      </c>
      <c r="C169" s="337">
        <v>8935</v>
      </c>
      <c r="D169" s="276">
        <v>22</v>
      </c>
      <c r="E169" s="185"/>
      <c r="G169" s="278">
        <v>8064.9323199999999</v>
      </c>
      <c r="H169" s="278">
        <v>69571.932159999997</v>
      </c>
      <c r="I169" s="278"/>
      <c r="J169" s="278">
        <v>32446.468989999998</v>
      </c>
      <c r="K169" s="278">
        <v>3028.2012</v>
      </c>
      <c r="L169" s="278">
        <v>3022.08554</v>
      </c>
      <c r="M169" s="278">
        <v>38496.755729999997</v>
      </c>
      <c r="N169" s="278">
        <v>26825.004000000001</v>
      </c>
      <c r="O169" s="278">
        <v>64.134860000000003</v>
      </c>
      <c r="P169" s="278">
        <v>160.44973000000002</v>
      </c>
      <c r="Q169" s="278">
        <v>358.69965999999999</v>
      </c>
      <c r="R169" s="278">
        <v>1.1568900000000002</v>
      </c>
      <c r="S169" s="278">
        <v>4084.5677900000001</v>
      </c>
      <c r="U169" s="278">
        <v>2912.5756099999999</v>
      </c>
      <c r="V169" s="278">
        <v>0</v>
      </c>
      <c r="W169" s="278">
        <v>0</v>
      </c>
      <c r="X169" s="278">
        <v>1171.99218</v>
      </c>
      <c r="Y169" s="278">
        <v>-95.430149999999998</v>
      </c>
      <c r="Z169" s="278">
        <v>0</v>
      </c>
      <c r="AA169" s="278">
        <v>0</v>
      </c>
      <c r="AB169" s="278">
        <v>1267.4223300000001</v>
      </c>
      <c r="AD169" s="278">
        <v>7112.3637600000002</v>
      </c>
      <c r="AE169" s="157">
        <v>4027.5339900000004</v>
      </c>
      <c r="AF169" s="184">
        <v>-57.033799999999999</v>
      </c>
      <c r="AG169" s="278">
        <v>-4547.90074</v>
      </c>
      <c r="AH169" s="278">
        <v>25</v>
      </c>
      <c r="AI169" s="184">
        <v>257.15931999999998</v>
      </c>
      <c r="AJ169" s="278">
        <v>4980.1871300000003</v>
      </c>
      <c r="AL169" s="278">
        <v>18322.948840000001</v>
      </c>
      <c r="AM169" s="184">
        <v>50</v>
      </c>
      <c r="AN169" s="278">
        <v>1241.72894</v>
      </c>
      <c r="AO169" s="355">
        <v>8839</v>
      </c>
      <c r="AP169" s="344">
        <v>9.36</v>
      </c>
      <c r="AQ169" s="462"/>
      <c r="AS169" s="469">
        <v>6276.5226500000008</v>
      </c>
      <c r="AT169" s="278">
        <v>28970.025699999998</v>
      </c>
      <c r="AU169" s="464"/>
      <c r="AV169" s="346">
        <v>16796.60455</v>
      </c>
      <c r="AW169" s="346">
        <v>1902.1927800000001</v>
      </c>
      <c r="AX169" s="346">
        <v>3167.32323</v>
      </c>
      <c r="AY169" s="346">
        <v>21866.120559999999</v>
      </c>
      <c r="AZ169" s="346">
        <v>5528.7569999999996</v>
      </c>
      <c r="BA169" s="278">
        <v>209.07285000000002</v>
      </c>
      <c r="BB169" s="345">
        <v>525.24580000000003</v>
      </c>
      <c r="BC169" s="278">
        <v>268.25655999999998</v>
      </c>
      <c r="BD169" s="278">
        <v>2.4650400000000001</v>
      </c>
      <c r="BE169" s="346">
        <v>4675.1730800000005</v>
      </c>
      <c r="BG169" s="343">
        <v>3140.09483</v>
      </c>
      <c r="BH169" s="343">
        <v>0</v>
      </c>
      <c r="BI169" s="343">
        <v>0</v>
      </c>
      <c r="BJ169" s="346">
        <v>1535.07825</v>
      </c>
      <c r="BK169" s="346">
        <v>-76.34411999999999</v>
      </c>
      <c r="BL169" s="343">
        <v>0</v>
      </c>
      <c r="BM169" s="343">
        <v>0</v>
      </c>
      <c r="BN169" s="346">
        <v>1611.42237</v>
      </c>
      <c r="BP169" s="346">
        <v>8723.7861300000004</v>
      </c>
      <c r="BQ169" s="318">
        <v>4597.7122300000001</v>
      </c>
      <c r="BR169" s="278">
        <v>-77.460850000000008</v>
      </c>
      <c r="BS169" s="475">
        <v>-5588.6600499999995</v>
      </c>
      <c r="BT169" s="278">
        <v>62.378349999999998</v>
      </c>
      <c r="BU169" s="278">
        <v>102.07917999999999</v>
      </c>
      <c r="BV169" s="345">
        <v>3885.6935400000002</v>
      </c>
      <c r="BX169" s="278">
        <v>21199.135380000003</v>
      </c>
      <c r="BY169" s="483">
        <v>-638.71544999999992</v>
      </c>
      <c r="BZ169" s="483">
        <v>2876.1865400000002</v>
      </c>
      <c r="CA169" s="260"/>
      <c r="CB169" s="347">
        <v>9.4</v>
      </c>
      <c r="CC169" s="486">
        <f t="shared" si="2"/>
        <v>9.4</v>
      </c>
      <c r="CD169" s="287"/>
      <c r="CE169" s="278"/>
      <c r="CF169" s="268"/>
      <c r="CI169" s="158">
        <v>0</v>
      </c>
      <c r="CJ169" s="343">
        <v>5513.3256025311366</v>
      </c>
      <c r="CK169" s="343">
        <v>5739.227383949953</v>
      </c>
      <c r="CL169" s="343">
        <v>5920.8714417600777</v>
      </c>
      <c r="CM169" s="487">
        <v>5854.2851707324417</v>
      </c>
      <c r="CN169" s="487">
        <v>6761.189777324581</v>
      </c>
      <c r="CO169" s="495">
        <v>-368.06700000000001</v>
      </c>
      <c r="CP169" s="299"/>
      <c r="CQ169" s="489">
        <v>8.58</v>
      </c>
      <c r="CR169" s="489">
        <v>24.18</v>
      </c>
    </row>
    <row r="170" spans="1:96" x14ac:dyDescent="0.2">
      <c r="A170" s="154">
        <v>563</v>
      </c>
      <c r="B170" s="156" t="s">
        <v>23</v>
      </c>
      <c r="C170" s="337">
        <v>7025</v>
      </c>
      <c r="D170" s="276">
        <v>22</v>
      </c>
      <c r="E170" s="185"/>
      <c r="G170" s="278">
        <v>10404.40235</v>
      </c>
      <c r="H170" s="278">
        <v>68011.52536</v>
      </c>
      <c r="I170" s="278"/>
      <c r="J170" s="278">
        <v>23516.83539</v>
      </c>
      <c r="K170" s="278">
        <v>2115.8296</v>
      </c>
      <c r="L170" s="278">
        <v>2117.4212499999999</v>
      </c>
      <c r="M170" s="278">
        <v>27750.086239999997</v>
      </c>
      <c r="N170" s="278">
        <v>29089.350999999999</v>
      </c>
      <c r="O170" s="278">
        <v>2.0991</v>
      </c>
      <c r="P170" s="278">
        <v>23.76924</v>
      </c>
      <c r="Q170" s="278">
        <v>1187.6376</v>
      </c>
      <c r="R170" s="278">
        <v>1878.06772</v>
      </c>
      <c r="S170" s="278">
        <v>-1479.78603</v>
      </c>
      <c r="U170" s="278">
        <v>2694.0201299999999</v>
      </c>
      <c r="V170" s="278">
        <v>0</v>
      </c>
      <c r="W170" s="278">
        <v>0</v>
      </c>
      <c r="X170" s="278">
        <v>-4173.8061600000001</v>
      </c>
      <c r="Y170" s="278">
        <v>-99.982559999999992</v>
      </c>
      <c r="Z170" s="278">
        <v>0</v>
      </c>
      <c r="AA170" s="278">
        <v>0</v>
      </c>
      <c r="AB170" s="278">
        <v>-4073.8236000000002</v>
      </c>
      <c r="AD170" s="278">
        <v>-361.85443000000015</v>
      </c>
      <c r="AE170" s="157">
        <v>-1332.7882400000001</v>
      </c>
      <c r="AF170" s="184">
        <v>146.99779000000001</v>
      </c>
      <c r="AG170" s="278">
        <v>-3576.70831</v>
      </c>
      <c r="AH170" s="278">
        <v>187.55295999999998</v>
      </c>
      <c r="AI170" s="184">
        <v>23.19088</v>
      </c>
      <c r="AJ170" s="278">
        <v>17641.215390000001</v>
      </c>
      <c r="AL170" s="278">
        <v>36773.436000000002</v>
      </c>
      <c r="AM170" s="184">
        <v>0</v>
      </c>
      <c r="AN170" s="278">
        <v>1867.904</v>
      </c>
      <c r="AO170" s="355">
        <v>6978</v>
      </c>
      <c r="AP170" s="344">
        <v>9.36</v>
      </c>
      <c r="AQ170" s="462"/>
      <c r="AS170" s="469">
        <v>6188.5046299999995</v>
      </c>
      <c r="AT170" s="278">
        <v>27186.67425</v>
      </c>
      <c r="AU170" s="464"/>
      <c r="AV170" s="346">
        <v>12499.187169999999</v>
      </c>
      <c r="AW170" s="346">
        <v>1673.3515300000001</v>
      </c>
      <c r="AX170" s="346">
        <v>2235.4277999999999</v>
      </c>
      <c r="AY170" s="346">
        <v>16407.966499999999</v>
      </c>
      <c r="AZ170" s="346">
        <v>7550.3810000000003</v>
      </c>
      <c r="BA170" s="278">
        <v>216.42207000000002</v>
      </c>
      <c r="BB170" s="345">
        <v>1182.24794</v>
      </c>
      <c r="BC170" s="278">
        <v>1571.0429999999999</v>
      </c>
      <c r="BD170" s="278">
        <v>726.78026999999997</v>
      </c>
      <c r="BE170" s="346">
        <v>2838.6147400000004</v>
      </c>
      <c r="BG170" s="343">
        <v>2789.3515899999998</v>
      </c>
      <c r="BH170" s="343">
        <v>0</v>
      </c>
      <c r="BI170" s="343">
        <v>0</v>
      </c>
      <c r="BJ170" s="346">
        <v>49.263150000000003</v>
      </c>
      <c r="BK170" s="346">
        <v>-99.982559999999992</v>
      </c>
      <c r="BL170" s="343">
        <v>-249.6</v>
      </c>
      <c r="BM170" s="343">
        <v>0</v>
      </c>
      <c r="BN170" s="346">
        <v>398.84571</v>
      </c>
      <c r="BP170" s="346">
        <v>36.991280000000017</v>
      </c>
      <c r="BQ170" s="318">
        <v>2847.9573100000002</v>
      </c>
      <c r="BR170" s="278">
        <v>9.3425700000000003</v>
      </c>
      <c r="BS170" s="475">
        <v>-3305.3958199999997</v>
      </c>
      <c r="BT170" s="278">
        <v>8.4</v>
      </c>
      <c r="BU170" s="278">
        <v>10.1355</v>
      </c>
      <c r="BV170" s="345">
        <v>18508.80256</v>
      </c>
      <c r="BX170" s="278">
        <v>51867.173329999998</v>
      </c>
      <c r="BY170" s="483">
        <v>-12420</v>
      </c>
      <c r="BZ170" s="483">
        <v>15093.73733</v>
      </c>
      <c r="CA170" s="260"/>
      <c r="CB170" s="347">
        <v>10</v>
      </c>
      <c r="CC170" s="486">
        <f t="shared" si="2"/>
        <v>10</v>
      </c>
      <c r="CD170" s="287"/>
      <c r="CE170" s="278"/>
      <c r="CF170" s="268"/>
      <c r="CI170" s="158">
        <v>0</v>
      </c>
      <c r="CJ170" s="343">
        <v>5565.3471944533667</v>
      </c>
      <c r="CK170" s="343">
        <v>5376.0752432764375</v>
      </c>
      <c r="CL170" s="343">
        <v>5425.1421083677114</v>
      </c>
      <c r="CM170" s="487">
        <v>5617.2433066063768</v>
      </c>
      <c r="CN170" s="487">
        <v>6403.1072906349282</v>
      </c>
      <c r="CO170" s="495">
        <v>-298.57400000000001</v>
      </c>
      <c r="CP170" s="299"/>
      <c r="CQ170" s="489">
        <v>0</v>
      </c>
      <c r="CR170" s="489">
        <v>0</v>
      </c>
    </row>
    <row r="171" spans="1:96" x14ac:dyDescent="0.2">
      <c r="A171" s="154">
        <v>564</v>
      </c>
      <c r="B171" s="156" t="s">
        <v>199</v>
      </c>
      <c r="C171" s="337">
        <v>211848</v>
      </c>
      <c r="D171" s="276">
        <v>20.5</v>
      </c>
      <c r="E171" s="185"/>
      <c r="G171" s="278">
        <v>404133.22826999996</v>
      </c>
      <c r="H171" s="278">
        <v>1487392.98401</v>
      </c>
      <c r="I171" s="278"/>
      <c r="J171" s="278">
        <v>814986.32671000005</v>
      </c>
      <c r="K171" s="278">
        <v>75372.36765</v>
      </c>
      <c r="L171" s="278">
        <v>64552.474390000003</v>
      </c>
      <c r="M171" s="278">
        <v>954911.16874999995</v>
      </c>
      <c r="N171" s="278">
        <v>343951.84700000001</v>
      </c>
      <c r="O171" s="278">
        <v>11307.00669</v>
      </c>
      <c r="P171" s="278">
        <v>9477.9218199999996</v>
      </c>
      <c r="Q171" s="278">
        <v>22732.374589999999</v>
      </c>
      <c r="R171" s="278">
        <v>8820.9347500000003</v>
      </c>
      <c r="S171" s="278">
        <v>252298.52819000001</v>
      </c>
      <c r="U171" s="278">
        <v>90258.976089999996</v>
      </c>
      <c r="V171" s="278">
        <v>0</v>
      </c>
      <c r="W171" s="278">
        <v>0</v>
      </c>
      <c r="X171" s="278">
        <v>162039.5521</v>
      </c>
      <c r="Y171" s="278">
        <v>-4333.1488799999997</v>
      </c>
      <c r="Z171" s="278">
        <v>2000</v>
      </c>
      <c r="AA171" s="278">
        <v>0</v>
      </c>
      <c r="AB171" s="278">
        <v>164372.70097999999</v>
      </c>
      <c r="AD171" s="278">
        <v>996883.90737999999</v>
      </c>
      <c r="AE171" s="157">
        <v>100915.45992000001</v>
      </c>
      <c r="AF171" s="184">
        <v>-151383.06827000002</v>
      </c>
      <c r="AG171" s="278">
        <v>-123515.63395999999</v>
      </c>
      <c r="AH171" s="278">
        <v>4471.0778799999998</v>
      </c>
      <c r="AI171" s="184">
        <v>202271.88657</v>
      </c>
      <c r="AJ171" s="278">
        <v>314456.58676999999</v>
      </c>
      <c r="AL171" s="278">
        <v>584435.91824999999</v>
      </c>
      <c r="AM171" s="184">
        <v>7760.9472500000002</v>
      </c>
      <c r="AN171" s="278">
        <v>-90879.648239999995</v>
      </c>
      <c r="AO171" s="355">
        <v>214633</v>
      </c>
      <c r="AP171" s="344">
        <v>7.86</v>
      </c>
      <c r="AQ171" s="462"/>
      <c r="AS171" s="469">
        <v>194640.00266</v>
      </c>
      <c r="AT171" s="278">
        <v>786547.49427999998</v>
      </c>
      <c r="AU171" s="464"/>
      <c r="AV171" s="346">
        <v>404010.11468</v>
      </c>
      <c r="AW171" s="346">
        <v>52067.903659999996</v>
      </c>
      <c r="AX171" s="346">
        <v>68247.571089999998</v>
      </c>
      <c r="AY171" s="346">
        <v>524325.58943000005</v>
      </c>
      <c r="AZ171" s="346">
        <v>119761.076</v>
      </c>
      <c r="BA171" s="278">
        <v>10449.771500000001</v>
      </c>
      <c r="BB171" s="345">
        <v>7311.6786900000006</v>
      </c>
      <c r="BC171" s="278">
        <v>18966.849329999997</v>
      </c>
      <c r="BD171" s="278">
        <v>836.22620999999992</v>
      </c>
      <c r="BE171" s="346">
        <v>99625.562290000002</v>
      </c>
      <c r="BG171" s="343">
        <v>88081.335470000005</v>
      </c>
      <c r="BH171" s="343">
        <v>0</v>
      </c>
      <c r="BI171" s="343">
        <v>0</v>
      </c>
      <c r="BJ171" s="346">
        <v>11544.22682</v>
      </c>
      <c r="BK171" s="343">
        <v>-3043.39282</v>
      </c>
      <c r="BL171" s="343">
        <v>2000</v>
      </c>
      <c r="BM171" s="346">
        <v>0</v>
      </c>
      <c r="BN171" s="346">
        <v>12587.619640000001</v>
      </c>
      <c r="BP171" s="346">
        <v>1009471.52702</v>
      </c>
      <c r="BQ171" s="318">
        <v>130279.69729000001</v>
      </c>
      <c r="BR171" s="278">
        <v>30654.134989999999</v>
      </c>
      <c r="BS171" s="475">
        <v>-182994.79959000001</v>
      </c>
      <c r="BT171" s="278">
        <v>5544.7818299999999</v>
      </c>
      <c r="BU171" s="278">
        <v>15403.51628</v>
      </c>
      <c r="BV171" s="345">
        <v>314218.40954000002</v>
      </c>
      <c r="BX171" s="278">
        <v>667390.16024999996</v>
      </c>
      <c r="BY171" s="483">
        <v>2231.9856800000002</v>
      </c>
      <c r="BZ171" s="483">
        <v>82954.241999999998</v>
      </c>
      <c r="CA171" s="260"/>
      <c r="CB171" s="347">
        <v>7.9</v>
      </c>
      <c r="CC171" s="486">
        <f t="shared" si="2"/>
        <v>7.9</v>
      </c>
      <c r="CD171" s="287"/>
      <c r="CE171" s="278"/>
      <c r="CF171" s="268"/>
      <c r="CI171" s="158">
        <v>0</v>
      </c>
      <c r="CJ171" s="343">
        <v>115637.22224428414</v>
      </c>
      <c r="CK171" s="343">
        <v>136680.29885951872</v>
      </c>
      <c r="CL171" s="343">
        <v>145980.86850909903</v>
      </c>
      <c r="CM171" s="487">
        <v>147260.50797091439</v>
      </c>
      <c r="CN171" s="487">
        <v>149463.894257498</v>
      </c>
      <c r="CO171" s="495">
        <v>805.86699999999996</v>
      </c>
      <c r="CP171" s="299"/>
      <c r="CQ171" s="489">
        <v>20954.743469999998</v>
      </c>
      <c r="CR171" s="489">
        <v>26177.672549999999</v>
      </c>
    </row>
    <row r="172" spans="1:96" x14ac:dyDescent="0.2">
      <c r="A172" s="154">
        <v>309</v>
      </c>
      <c r="B172" s="156" t="s">
        <v>200</v>
      </c>
      <c r="C172" s="337">
        <v>6457</v>
      </c>
      <c r="D172" s="276">
        <v>21.5</v>
      </c>
      <c r="E172" s="185"/>
      <c r="G172" s="278">
        <v>7988.1367</v>
      </c>
      <c r="H172" s="278">
        <v>55294.484649999999</v>
      </c>
      <c r="I172" s="278"/>
      <c r="J172" s="278">
        <v>19180.189670000003</v>
      </c>
      <c r="K172" s="278">
        <v>1792.4526899999998</v>
      </c>
      <c r="L172" s="278">
        <v>1576.0929099999998</v>
      </c>
      <c r="M172" s="278">
        <v>22548.735270000001</v>
      </c>
      <c r="N172" s="278">
        <v>24283.53</v>
      </c>
      <c r="O172" s="278">
        <v>49.475160000000002</v>
      </c>
      <c r="P172" s="278">
        <v>75.399199999999993</v>
      </c>
      <c r="Q172" s="278">
        <v>1949.0633300000002</v>
      </c>
      <c r="R172" s="278">
        <v>5860.7789499999999</v>
      </c>
      <c r="S172" s="278">
        <v>-4411.7223400000003</v>
      </c>
      <c r="U172" s="278">
        <v>2732.7252799999997</v>
      </c>
      <c r="V172" s="278">
        <v>0</v>
      </c>
      <c r="W172" s="278">
        <v>0</v>
      </c>
      <c r="X172" s="278">
        <v>-7144.4476199999999</v>
      </c>
      <c r="Y172" s="278">
        <v>707.39088000000004</v>
      </c>
      <c r="Z172" s="278">
        <v>-1000</v>
      </c>
      <c r="AA172" s="278">
        <v>0</v>
      </c>
      <c r="AB172" s="278">
        <v>-6851.8384999999998</v>
      </c>
      <c r="AD172" s="278">
        <v>10562.715039999999</v>
      </c>
      <c r="AE172" s="157">
        <v>-4404.68451</v>
      </c>
      <c r="AF172" s="184">
        <v>7.0378299999999996</v>
      </c>
      <c r="AG172" s="278">
        <v>-2517.4539300000001</v>
      </c>
      <c r="AH172" s="278">
        <v>126.79276</v>
      </c>
      <c r="AI172" s="184">
        <v>94.023600000000002</v>
      </c>
      <c r="AJ172" s="278">
        <v>57337.072770000006</v>
      </c>
      <c r="AL172" s="278">
        <v>12389.5578</v>
      </c>
      <c r="AM172" s="184">
        <v>-1233</v>
      </c>
      <c r="AN172" s="278">
        <v>66.76764</v>
      </c>
      <c r="AO172" s="355">
        <v>6409</v>
      </c>
      <c r="AP172" s="344">
        <v>8.86</v>
      </c>
      <c r="AQ172" s="462"/>
      <c r="AS172" s="469">
        <v>7024.7405599999993</v>
      </c>
      <c r="AT172" s="278">
        <v>21843.189879999998</v>
      </c>
      <c r="AU172" s="464"/>
      <c r="AV172" s="346">
        <v>10044.136490000001</v>
      </c>
      <c r="AW172" s="346">
        <v>1073.29493</v>
      </c>
      <c r="AX172" s="346">
        <v>1666.14076</v>
      </c>
      <c r="AY172" s="346">
        <v>12783.572179999999</v>
      </c>
      <c r="AZ172" s="346">
        <v>4462.1639999999998</v>
      </c>
      <c r="BA172" s="278">
        <v>279.17500999999999</v>
      </c>
      <c r="BB172" s="345">
        <v>479.02087</v>
      </c>
      <c r="BC172" s="278">
        <v>4220.0106699999997</v>
      </c>
      <c r="BD172" s="278">
        <v>2606.0407799999998</v>
      </c>
      <c r="BE172" s="346">
        <v>3841.4108900000001</v>
      </c>
      <c r="BG172" s="343">
        <v>2412.8981699999999</v>
      </c>
      <c r="BH172" s="343">
        <v>0</v>
      </c>
      <c r="BI172" s="343">
        <v>0</v>
      </c>
      <c r="BJ172" s="346">
        <v>1428.5127199999999</v>
      </c>
      <c r="BK172" s="346">
        <v>-47.182989999999997</v>
      </c>
      <c r="BL172" s="346">
        <v>0</v>
      </c>
      <c r="BM172" s="346">
        <v>29.238939999999999</v>
      </c>
      <c r="BN172" s="346">
        <v>1446.45677</v>
      </c>
      <c r="BP172" s="346">
        <v>11329.17181</v>
      </c>
      <c r="BQ172" s="318">
        <v>2479.5032099999999</v>
      </c>
      <c r="BR172" s="278">
        <v>-1361.90768</v>
      </c>
      <c r="BS172" s="475">
        <v>-6076.4086399999997</v>
      </c>
      <c r="BT172" s="278">
        <v>247.37657000000002</v>
      </c>
      <c r="BU172" s="278">
        <v>19.825599999999998</v>
      </c>
      <c r="BV172" s="345">
        <v>60521.105990000004</v>
      </c>
      <c r="BX172" s="278">
        <v>20554.91057</v>
      </c>
      <c r="BY172" s="483">
        <v>-1277.4870700000001</v>
      </c>
      <c r="BZ172" s="483">
        <v>8165.3527699999995</v>
      </c>
      <c r="CA172" s="260"/>
      <c r="CB172" s="347">
        <v>8.9</v>
      </c>
      <c r="CC172" s="486">
        <f t="shared" si="2"/>
        <v>8.9</v>
      </c>
      <c r="CD172" s="287"/>
      <c r="CE172" s="278"/>
      <c r="CF172" s="268"/>
      <c r="CI172" s="158">
        <v>1000</v>
      </c>
      <c r="CJ172" s="343">
        <v>2844.3358678384379</v>
      </c>
      <c r="CK172" s="343">
        <v>4090.6600149664951</v>
      </c>
      <c r="CL172" s="343">
        <v>4416.9517110573142</v>
      </c>
      <c r="CM172" s="487">
        <v>4381.7500000931504</v>
      </c>
      <c r="CN172" s="487">
        <v>5307.4345946168014</v>
      </c>
      <c r="CO172" s="495">
        <v>-471.29700000000003</v>
      </c>
      <c r="CP172" s="299"/>
      <c r="CQ172" s="489">
        <v>0</v>
      </c>
      <c r="CR172" s="489">
        <v>0</v>
      </c>
    </row>
    <row r="173" spans="1:96" x14ac:dyDescent="0.2">
      <c r="A173" s="154">
        <v>576</v>
      </c>
      <c r="B173" s="156" t="s">
        <v>201</v>
      </c>
      <c r="C173" s="337">
        <v>2750</v>
      </c>
      <c r="D173" s="276">
        <v>21</v>
      </c>
      <c r="E173" s="185"/>
      <c r="G173" s="278">
        <v>3278.3779800000002</v>
      </c>
      <c r="H173" s="278">
        <v>23400.256829999998</v>
      </c>
      <c r="I173" s="278"/>
      <c r="J173" s="278">
        <v>8386.2596400000002</v>
      </c>
      <c r="K173" s="278">
        <v>1745.0408500000001</v>
      </c>
      <c r="L173" s="278">
        <v>1549.2963400000001</v>
      </c>
      <c r="M173" s="278">
        <v>11680.59683</v>
      </c>
      <c r="N173" s="278">
        <v>11123.638999999999</v>
      </c>
      <c r="O173" s="278">
        <v>177.07132999999999</v>
      </c>
      <c r="P173" s="278">
        <v>35.229639999999996</v>
      </c>
      <c r="Q173" s="278">
        <v>29.953139999999998</v>
      </c>
      <c r="R173" s="278">
        <v>160.56978000000001</v>
      </c>
      <c r="S173" s="278">
        <v>2696.3510299999998</v>
      </c>
      <c r="U173" s="278">
        <v>1232.7495100000001</v>
      </c>
      <c r="V173" s="278">
        <v>0</v>
      </c>
      <c r="W173" s="278">
        <v>0</v>
      </c>
      <c r="X173" s="278">
        <v>1463.6015199999999</v>
      </c>
      <c r="Y173" s="278">
        <v>-115.85885</v>
      </c>
      <c r="Z173" s="278">
        <v>-58.273989999999998</v>
      </c>
      <c r="AA173" s="278">
        <v>0</v>
      </c>
      <c r="AB173" s="278">
        <v>1637.7343600000002</v>
      </c>
      <c r="AD173" s="278">
        <v>8441.124890000001</v>
      </c>
      <c r="AE173" s="157">
        <v>2695.4727200000002</v>
      </c>
      <c r="AF173" s="184">
        <v>-0.87830999999999992</v>
      </c>
      <c r="AG173" s="278">
        <v>-628.52308999999991</v>
      </c>
      <c r="AH173" s="278">
        <v>0</v>
      </c>
      <c r="AI173" s="184">
        <v>5.7702999999999998</v>
      </c>
      <c r="AJ173" s="278">
        <v>8758.1994300000006</v>
      </c>
      <c r="AL173" s="278">
        <v>5540.3239999999996</v>
      </c>
      <c r="AM173" s="184">
        <v>-18</v>
      </c>
      <c r="AN173" s="278">
        <v>-1684.9459999999999</v>
      </c>
      <c r="AO173" s="355">
        <v>2726</v>
      </c>
      <c r="AP173" s="344">
        <v>8.36</v>
      </c>
      <c r="AQ173" s="462"/>
      <c r="AS173" s="469">
        <v>2823.27405</v>
      </c>
      <c r="AT173" s="278">
        <v>9859.0291199999992</v>
      </c>
      <c r="AU173" s="464"/>
      <c r="AV173" s="346">
        <v>3674.57519</v>
      </c>
      <c r="AW173" s="346">
        <v>993.56795999999997</v>
      </c>
      <c r="AX173" s="346">
        <v>1590.32367</v>
      </c>
      <c r="AY173" s="346">
        <v>6258.4668200000006</v>
      </c>
      <c r="AZ173" s="346">
        <v>2000.742</v>
      </c>
      <c r="BA173" s="278">
        <v>101.57575999999999</v>
      </c>
      <c r="BB173" s="345">
        <v>77.911789999999996</v>
      </c>
      <c r="BC173" s="278">
        <v>121.0123</v>
      </c>
      <c r="BD173" s="278">
        <v>54.629539999999999</v>
      </c>
      <c r="BE173" s="346">
        <v>1314.75748</v>
      </c>
      <c r="BG173" s="343">
        <v>1094.7332099999999</v>
      </c>
      <c r="BH173" s="343">
        <v>0</v>
      </c>
      <c r="BI173" s="343">
        <v>0</v>
      </c>
      <c r="BJ173" s="346">
        <v>220.02427</v>
      </c>
      <c r="BK173" s="343">
        <v>-97.093000000000004</v>
      </c>
      <c r="BL173" s="343">
        <v>-69.582210000000003</v>
      </c>
      <c r="BM173" s="343">
        <v>0</v>
      </c>
      <c r="BN173" s="346">
        <v>386.69947999999999</v>
      </c>
      <c r="BP173" s="346">
        <v>8837.8892499999984</v>
      </c>
      <c r="BQ173" s="318">
        <v>1306.5306599999999</v>
      </c>
      <c r="BR173" s="278">
        <v>-8.22682</v>
      </c>
      <c r="BS173" s="475">
        <v>-2178.57078</v>
      </c>
      <c r="BT173" s="278">
        <v>15</v>
      </c>
      <c r="BU173" s="278">
        <v>455.26992999999999</v>
      </c>
      <c r="BV173" s="345">
        <v>7298.5361700000003</v>
      </c>
      <c r="BX173" s="278">
        <v>4339.3779999999997</v>
      </c>
      <c r="BY173" s="483">
        <v>-36.4</v>
      </c>
      <c r="BZ173" s="483">
        <v>-1200.9459999999999</v>
      </c>
      <c r="CA173" s="260"/>
      <c r="CB173" s="347">
        <v>8.4</v>
      </c>
      <c r="CC173" s="486">
        <f t="shared" si="2"/>
        <v>8.4</v>
      </c>
      <c r="CD173" s="287"/>
      <c r="CE173" s="278"/>
      <c r="CF173" s="268"/>
      <c r="CI173" s="158">
        <v>0</v>
      </c>
      <c r="CJ173" s="343">
        <v>1603.5132850586892</v>
      </c>
      <c r="CK173" s="343">
        <v>1809.3882178252493</v>
      </c>
      <c r="CL173" s="343">
        <v>1842.7851125410339</v>
      </c>
      <c r="CM173" s="487">
        <v>1791.8534706362489</v>
      </c>
      <c r="CN173" s="487">
        <v>2194.0248460687899</v>
      </c>
      <c r="CO173" s="495">
        <v>-239.26599999999999</v>
      </c>
      <c r="CP173" s="299"/>
      <c r="CQ173" s="489">
        <v>2.7690000000000001</v>
      </c>
      <c r="CR173" s="489">
        <v>1.2569999999999999</v>
      </c>
    </row>
    <row r="174" spans="1:96" x14ac:dyDescent="0.2">
      <c r="A174" s="154">
        <v>577</v>
      </c>
      <c r="B174" s="156" t="s">
        <v>202</v>
      </c>
      <c r="C174" s="337">
        <v>11138</v>
      </c>
      <c r="D174" s="276">
        <v>20.75</v>
      </c>
      <c r="E174" s="185"/>
      <c r="G174" s="278">
        <v>8188.4361500000005</v>
      </c>
      <c r="H174" s="278">
        <v>74784.562689999992</v>
      </c>
      <c r="I174" s="278"/>
      <c r="J174" s="278">
        <v>43553.411500000002</v>
      </c>
      <c r="K174" s="278">
        <v>2919.9648700000002</v>
      </c>
      <c r="L174" s="278">
        <v>2509.5545200000001</v>
      </c>
      <c r="M174" s="278">
        <v>48982.930890000003</v>
      </c>
      <c r="N174" s="278">
        <v>20450.278999999999</v>
      </c>
      <c r="O174" s="278">
        <v>458.20671999999996</v>
      </c>
      <c r="P174" s="278">
        <v>407.07535999999999</v>
      </c>
      <c r="Q174" s="278">
        <v>562.51946999999996</v>
      </c>
      <c r="R174" s="278">
        <v>5.2929799999999991</v>
      </c>
      <c r="S174" s="278">
        <v>3445.4412000000002</v>
      </c>
      <c r="U174" s="278">
        <v>2593.5314500000004</v>
      </c>
      <c r="V174" s="278">
        <v>0</v>
      </c>
      <c r="W174" s="278">
        <v>0</v>
      </c>
      <c r="X174" s="278">
        <v>851.90975000000003</v>
      </c>
      <c r="Y174" s="278">
        <v>-84.060789999999997</v>
      </c>
      <c r="Z174" s="278">
        <v>0</v>
      </c>
      <c r="AA174" s="278">
        <v>0</v>
      </c>
      <c r="AB174" s="278">
        <v>935.97054000000003</v>
      </c>
      <c r="AD174" s="278">
        <v>13568.846730000001</v>
      </c>
      <c r="AE174" s="157">
        <v>3285.3930399999999</v>
      </c>
      <c r="AF174" s="184">
        <v>-160.04816</v>
      </c>
      <c r="AG174" s="278">
        <v>-3373.5328399999999</v>
      </c>
      <c r="AH174" s="278">
        <v>305.94</v>
      </c>
      <c r="AI174" s="184">
        <v>196.57400000000001</v>
      </c>
      <c r="AJ174" s="278">
        <v>2171.65067</v>
      </c>
      <c r="AL174" s="278">
        <v>51375</v>
      </c>
      <c r="AM174" s="184">
        <v>181.87360000000001</v>
      </c>
      <c r="AN174" s="278">
        <v>-2600</v>
      </c>
      <c r="AO174" s="355">
        <v>11236</v>
      </c>
      <c r="AP174" s="344">
        <v>8.11</v>
      </c>
      <c r="AQ174" s="462"/>
      <c r="AS174" s="469">
        <v>6180.5054199999995</v>
      </c>
      <c r="AT174" s="278">
        <v>37364.797689999999</v>
      </c>
      <c r="AU174" s="464"/>
      <c r="AV174" s="346">
        <v>21881.366770000001</v>
      </c>
      <c r="AW174" s="346">
        <v>2272.68788</v>
      </c>
      <c r="AX174" s="346">
        <v>2480.6403599999999</v>
      </c>
      <c r="AY174" s="346">
        <v>26634.695010000003</v>
      </c>
      <c r="AZ174" s="346">
        <v>10180.119000000001</v>
      </c>
      <c r="BA174" s="278">
        <v>560.03243999999995</v>
      </c>
      <c r="BB174" s="345">
        <v>1216.66463</v>
      </c>
      <c r="BC174" s="278">
        <v>423.75923999999998</v>
      </c>
      <c r="BD174" s="278">
        <v>5.1391999999999998</v>
      </c>
      <c r="BE174" s="346">
        <v>5392.5095899999997</v>
      </c>
      <c r="BG174" s="343">
        <v>2883.08563</v>
      </c>
      <c r="BH174" s="343">
        <v>0</v>
      </c>
      <c r="BI174" s="343">
        <v>156.93822</v>
      </c>
      <c r="BJ174" s="346">
        <v>2352.4857400000001</v>
      </c>
      <c r="BK174" s="343">
        <v>-84.060789999999997</v>
      </c>
      <c r="BL174" s="343">
        <v>0</v>
      </c>
      <c r="BM174" s="343">
        <v>0</v>
      </c>
      <c r="BN174" s="346">
        <v>2436.5465299999996</v>
      </c>
      <c r="BP174" s="346">
        <v>16005.393260000001</v>
      </c>
      <c r="BQ174" s="318">
        <v>5216.9073600000002</v>
      </c>
      <c r="BR174" s="278">
        <v>-18.664009999999998</v>
      </c>
      <c r="BS174" s="475">
        <v>-6799.8322600000001</v>
      </c>
      <c r="BT174" s="278">
        <v>427</v>
      </c>
      <c r="BU174" s="278">
        <v>1630.98468</v>
      </c>
      <c r="BV174" s="345">
        <v>1203.08284</v>
      </c>
      <c r="BX174" s="278">
        <v>53501.94</v>
      </c>
      <c r="BY174" s="483">
        <v>1571.8736000000001</v>
      </c>
      <c r="BZ174" s="483">
        <v>2126.94</v>
      </c>
      <c r="CA174" s="260"/>
      <c r="CB174" s="347">
        <v>8.1999999999999993</v>
      </c>
      <c r="CC174" s="486">
        <f t="shared" si="2"/>
        <v>8.1999999999999993</v>
      </c>
      <c r="CD174" s="287"/>
      <c r="CE174" s="278"/>
      <c r="CF174" s="268"/>
      <c r="CI174" s="158">
        <v>1500</v>
      </c>
      <c r="CJ174" s="343">
        <v>9797.0053393767867</v>
      </c>
      <c r="CK174" s="343">
        <v>10753.534786572845</v>
      </c>
      <c r="CL174" s="343">
        <v>11696.407149177348</v>
      </c>
      <c r="CM174" s="487">
        <v>11927.439340624838</v>
      </c>
      <c r="CN174" s="487">
        <v>12263.203870465148</v>
      </c>
      <c r="CO174" s="495">
        <v>540.45000000000005</v>
      </c>
      <c r="CP174" s="299"/>
      <c r="CQ174" s="489">
        <v>0</v>
      </c>
      <c r="CR174" s="489">
        <v>0</v>
      </c>
    </row>
    <row r="175" spans="1:96" x14ac:dyDescent="0.2">
      <c r="A175" s="154">
        <v>578</v>
      </c>
      <c r="B175" s="156" t="s">
        <v>203</v>
      </c>
      <c r="C175" s="337">
        <v>3100</v>
      </c>
      <c r="D175" s="276">
        <v>22</v>
      </c>
      <c r="E175" s="185"/>
      <c r="G175" s="278">
        <v>3924.5614</v>
      </c>
      <c r="H175" s="278">
        <v>28421.382140000002</v>
      </c>
      <c r="I175" s="278"/>
      <c r="J175" s="278">
        <v>10255.622369999999</v>
      </c>
      <c r="K175" s="278">
        <v>1025.0577599999999</v>
      </c>
      <c r="L175" s="278">
        <v>1361.21504</v>
      </c>
      <c r="M175" s="278">
        <v>12641.89517</v>
      </c>
      <c r="N175" s="278">
        <v>13733.825999999999</v>
      </c>
      <c r="O175" s="278">
        <v>-3.9688699999999999</v>
      </c>
      <c r="P175" s="278">
        <v>219.91502</v>
      </c>
      <c r="Q175" s="278">
        <v>-228.98114000000001</v>
      </c>
      <c r="R175" s="278">
        <v>1.42997</v>
      </c>
      <c r="S175" s="278">
        <v>1434.9833700000001</v>
      </c>
      <c r="U175" s="278">
        <v>1411.0313999999998</v>
      </c>
      <c r="V175" s="278">
        <v>220.78200000000001</v>
      </c>
      <c r="W175" s="278">
        <v>0</v>
      </c>
      <c r="X175" s="278">
        <v>244.73397</v>
      </c>
      <c r="Y175" s="278">
        <v>-19.678830000000001</v>
      </c>
      <c r="Z175" s="278">
        <v>0</v>
      </c>
      <c r="AA175" s="278">
        <v>0</v>
      </c>
      <c r="AB175" s="278">
        <v>264.4128</v>
      </c>
      <c r="AD175" s="278">
        <v>361.04266999999999</v>
      </c>
      <c r="AE175" s="157">
        <v>1701.2981599999998</v>
      </c>
      <c r="AF175" s="184">
        <v>45.532789999999999</v>
      </c>
      <c r="AG175" s="278">
        <v>-2318.5583900000001</v>
      </c>
      <c r="AH175" s="278">
        <v>107.44255</v>
      </c>
      <c r="AI175" s="184">
        <v>-20.81</v>
      </c>
      <c r="AJ175" s="278">
        <v>5776.9590199999993</v>
      </c>
      <c r="AL175" s="278">
        <v>19750</v>
      </c>
      <c r="AM175" s="184">
        <v>0</v>
      </c>
      <c r="AN175" s="278">
        <v>1426.6569999999999</v>
      </c>
      <c r="AO175" s="355">
        <v>3037</v>
      </c>
      <c r="AP175" s="344">
        <v>9.36</v>
      </c>
      <c r="AQ175" s="462"/>
      <c r="AS175" s="469">
        <v>3897.8715899999997</v>
      </c>
      <c r="AT175" s="278">
        <v>12140.0738</v>
      </c>
      <c r="AU175" s="464"/>
      <c r="AV175" s="346">
        <v>4897.1123099999995</v>
      </c>
      <c r="AW175" s="346">
        <v>567.95799999999997</v>
      </c>
      <c r="AX175" s="346">
        <v>1411.4463400000002</v>
      </c>
      <c r="AY175" s="346">
        <v>6876.5166500000005</v>
      </c>
      <c r="AZ175" s="346">
        <v>2215.63</v>
      </c>
      <c r="BA175" s="278">
        <v>7.0445699999999993</v>
      </c>
      <c r="BB175" s="345">
        <v>204.15834000000001</v>
      </c>
      <c r="BC175" s="278">
        <v>119.48722000000001</v>
      </c>
      <c r="BD175" s="278">
        <v>3.21617</v>
      </c>
      <c r="BE175" s="346">
        <v>769.58077000000003</v>
      </c>
      <c r="BG175" s="343">
        <v>1431.4631299999999</v>
      </c>
      <c r="BH175" s="346">
        <v>0</v>
      </c>
      <c r="BI175" s="343">
        <v>0</v>
      </c>
      <c r="BJ175" s="346">
        <v>-661.88235999999995</v>
      </c>
      <c r="BK175" s="346">
        <v>-19.57762</v>
      </c>
      <c r="BL175" s="343">
        <v>0</v>
      </c>
      <c r="BM175" s="346">
        <v>0</v>
      </c>
      <c r="BN175" s="346">
        <v>-642.30474000000004</v>
      </c>
      <c r="BP175" s="346">
        <v>-281.26207000000005</v>
      </c>
      <c r="BQ175" s="318">
        <v>772.07943999999998</v>
      </c>
      <c r="BR175" s="278">
        <v>2.4986700000000002</v>
      </c>
      <c r="BS175" s="475">
        <v>-721.1385600000001</v>
      </c>
      <c r="BT175" s="278">
        <v>77.778170000000003</v>
      </c>
      <c r="BU175" s="278">
        <v>74.495999999999995</v>
      </c>
      <c r="BV175" s="345">
        <v>5765.4452799999999</v>
      </c>
      <c r="BX175" s="278">
        <v>18810</v>
      </c>
      <c r="BY175" s="483">
        <v>0</v>
      </c>
      <c r="BZ175" s="483">
        <v>-940</v>
      </c>
      <c r="CA175" s="260"/>
      <c r="CB175" s="347">
        <v>9.4</v>
      </c>
      <c r="CC175" s="486">
        <f t="shared" si="2"/>
        <v>9.4</v>
      </c>
      <c r="CD175" s="287"/>
      <c r="CE175" s="278"/>
      <c r="CF175" s="268"/>
      <c r="CI175" s="158">
        <v>0</v>
      </c>
      <c r="CJ175" s="343">
        <v>2083.7692996510032</v>
      </c>
      <c r="CK175" s="343">
        <v>2537.5050226477929</v>
      </c>
      <c r="CL175" s="343">
        <v>2429.8507013262938</v>
      </c>
      <c r="CM175" s="487">
        <v>2484.2986662092294</v>
      </c>
      <c r="CN175" s="487">
        <v>2699.8361210431676</v>
      </c>
      <c r="CO175" s="495">
        <v>47.625</v>
      </c>
      <c r="CP175" s="299"/>
      <c r="CQ175" s="489">
        <v>10.377940000000001</v>
      </c>
      <c r="CR175" s="489">
        <v>0.47905000000000003</v>
      </c>
    </row>
    <row r="176" spans="1:96" x14ac:dyDescent="0.2">
      <c r="A176" s="154">
        <v>445</v>
      </c>
      <c r="B176" s="268" t="s">
        <v>382</v>
      </c>
      <c r="C176" s="337">
        <v>14991</v>
      </c>
      <c r="D176" s="276">
        <v>20.5</v>
      </c>
      <c r="E176" s="185"/>
      <c r="G176" s="278">
        <v>18499.382010000001</v>
      </c>
      <c r="H176" s="278">
        <v>124558.89541</v>
      </c>
      <c r="I176" s="278"/>
      <c r="J176" s="278">
        <v>63195.660459999999</v>
      </c>
      <c r="K176" s="278">
        <v>4041.5747799999999</v>
      </c>
      <c r="L176" s="278">
        <v>10017.164560000001</v>
      </c>
      <c r="M176" s="278">
        <v>77254.399799999999</v>
      </c>
      <c r="N176" s="278">
        <v>35250.792000000001</v>
      </c>
      <c r="O176" s="278">
        <v>0.27564</v>
      </c>
      <c r="P176" s="278">
        <v>801.68316000000004</v>
      </c>
      <c r="Q176" s="278">
        <v>340.78980000000001</v>
      </c>
      <c r="R176" s="278">
        <v>20.617650000000001</v>
      </c>
      <c r="S176" s="278">
        <v>5964.4430300000004</v>
      </c>
      <c r="U176" s="278">
        <v>4823.2315899999994</v>
      </c>
      <c r="V176" s="278">
        <v>0</v>
      </c>
      <c r="W176" s="278">
        <v>0</v>
      </c>
      <c r="X176" s="278">
        <v>1141.21144</v>
      </c>
      <c r="Y176" s="278">
        <v>-41.679589999999997</v>
      </c>
      <c r="Z176" s="278">
        <v>0</v>
      </c>
      <c r="AA176" s="278">
        <v>0</v>
      </c>
      <c r="AB176" s="278">
        <v>1182.89103</v>
      </c>
      <c r="AD176" s="278">
        <v>10967.009239999999</v>
      </c>
      <c r="AE176" s="157">
        <v>5753.6557300000004</v>
      </c>
      <c r="AF176" s="184">
        <v>-210.78729999999999</v>
      </c>
      <c r="AG176" s="278">
        <v>-11431.439869999998</v>
      </c>
      <c r="AH176" s="278">
        <v>142.691</v>
      </c>
      <c r="AI176" s="184">
        <v>458.67200000000003</v>
      </c>
      <c r="AJ176" s="278">
        <v>2354.3057999999996</v>
      </c>
      <c r="AL176" s="278">
        <v>41507.533360000001</v>
      </c>
      <c r="AM176" s="184">
        <v>8.8281799999999997</v>
      </c>
      <c r="AN176" s="278">
        <v>775.00592000000006</v>
      </c>
      <c r="AO176" s="355">
        <v>14999</v>
      </c>
      <c r="AP176" s="344">
        <v>7.86</v>
      </c>
      <c r="AQ176" s="462"/>
      <c r="AS176" s="469">
        <v>17114.009190000001</v>
      </c>
      <c r="AT176" s="278">
        <v>61332.556049999999</v>
      </c>
      <c r="AU176" s="464"/>
      <c r="AV176" s="346">
        <v>30541.31767</v>
      </c>
      <c r="AW176" s="346">
        <v>2627.62246</v>
      </c>
      <c r="AX176" s="346">
        <v>10310.44218</v>
      </c>
      <c r="AY176" s="346">
        <v>43479.382310000001</v>
      </c>
      <c r="AZ176" s="346">
        <v>10717.475</v>
      </c>
      <c r="BA176" s="278">
        <v>2.6526799999999997</v>
      </c>
      <c r="BB176" s="345">
        <v>875.15416000000005</v>
      </c>
      <c r="BC176" s="278">
        <v>1174.89561</v>
      </c>
      <c r="BD176" s="278">
        <v>48.188449999999996</v>
      </c>
      <c r="BE176" s="346">
        <v>10232.51613</v>
      </c>
      <c r="BG176" s="343">
        <v>7470.4515799999999</v>
      </c>
      <c r="BH176" s="346">
        <v>0</v>
      </c>
      <c r="BI176" s="346">
        <v>0</v>
      </c>
      <c r="BJ176" s="346">
        <v>2762.0645499999996</v>
      </c>
      <c r="BK176" s="346">
        <v>-41.152920000000002</v>
      </c>
      <c r="BL176" s="346">
        <v>0</v>
      </c>
      <c r="BM176" s="346">
        <v>0</v>
      </c>
      <c r="BN176" s="346">
        <v>2803.21747</v>
      </c>
      <c r="BP176" s="346">
        <v>13770.226709999999</v>
      </c>
      <c r="BQ176" s="318">
        <v>10276.24886</v>
      </c>
      <c r="BR176" s="278">
        <v>43.732730000000004</v>
      </c>
      <c r="BS176" s="475">
        <v>-11856.134550000001</v>
      </c>
      <c r="BT176" s="278">
        <v>75.816580000000002</v>
      </c>
      <c r="BU176" s="278">
        <v>305.12</v>
      </c>
      <c r="BV176" s="345">
        <v>2565.7037999999998</v>
      </c>
      <c r="BX176" s="278">
        <v>45999.381819999995</v>
      </c>
      <c r="BY176" s="483">
        <v>35</v>
      </c>
      <c r="BZ176" s="483">
        <v>4491.8484600000002</v>
      </c>
      <c r="CA176" s="260"/>
      <c r="CB176" s="347">
        <v>7.9</v>
      </c>
      <c r="CC176" s="486">
        <f t="shared" si="2"/>
        <v>7.9</v>
      </c>
      <c r="CD176" s="287"/>
      <c r="CE176" s="278"/>
      <c r="CF176" s="268"/>
      <c r="CI176" s="158">
        <v>0</v>
      </c>
      <c r="CJ176" s="343">
        <v>8305.5891428745654</v>
      </c>
      <c r="CK176" s="343">
        <v>9375.0135489134191</v>
      </c>
      <c r="CL176" s="343">
        <v>9888.0280304466651</v>
      </c>
      <c r="CM176" s="487">
        <v>10273.38724786825</v>
      </c>
      <c r="CN176" s="487">
        <v>11451.292992536328</v>
      </c>
      <c r="CO176" s="495">
        <v>51.512</v>
      </c>
      <c r="CP176" s="299"/>
      <c r="CQ176" s="489">
        <v>0</v>
      </c>
      <c r="CR176" s="489">
        <v>0</v>
      </c>
    </row>
    <row r="177" spans="1:96" x14ac:dyDescent="0.2">
      <c r="A177" s="154">
        <v>580</v>
      </c>
      <c r="B177" s="156" t="s">
        <v>204</v>
      </c>
      <c r="C177" s="337">
        <v>4438</v>
      </c>
      <c r="D177" s="276">
        <v>21.5</v>
      </c>
      <c r="E177" s="185"/>
      <c r="G177" s="278">
        <v>5058.2610599999998</v>
      </c>
      <c r="H177" s="278">
        <v>39930.085679999997</v>
      </c>
      <c r="I177" s="278"/>
      <c r="J177" s="278">
        <v>14236.58808</v>
      </c>
      <c r="K177" s="278">
        <v>1938.0920000000001</v>
      </c>
      <c r="L177" s="278">
        <v>1373.32008</v>
      </c>
      <c r="M177" s="278">
        <v>17548.00016</v>
      </c>
      <c r="N177" s="278">
        <v>18506.931</v>
      </c>
      <c r="O177" s="278">
        <v>0.99579999999999991</v>
      </c>
      <c r="P177" s="278">
        <v>44.726239999999997</v>
      </c>
      <c r="Q177" s="278">
        <v>52.309249999999999</v>
      </c>
      <c r="R177" s="278">
        <v>134.81098</v>
      </c>
      <c r="S177" s="278">
        <v>1056.87437</v>
      </c>
      <c r="U177" s="278">
        <v>1921.2325800000001</v>
      </c>
      <c r="V177" s="278">
        <v>0</v>
      </c>
      <c r="W177" s="278">
        <v>0</v>
      </c>
      <c r="X177" s="278">
        <v>-864.35820999999999</v>
      </c>
      <c r="Y177" s="278">
        <v>-11.805459999999998</v>
      </c>
      <c r="Z177" s="278">
        <v>0</v>
      </c>
      <c r="AA177" s="278">
        <v>3.69773</v>
      </c>
      <c r="AB177" s="278">
        <v>-856.25047999999992</v>
      </c>
      <c r="AD177" s="278">
        <v>16087.387739999998</v>
      </c>
      <c r="AE177" s="157">
        <v>461.47044</v>
      </c>
      <c r="AF177" s="184">
        <v>-595.40393000000006</v>
      </c>
      <c r="AG177" s="278">
        <v>-6414.7758600000006</v>
      </c>
      <c r="AH177" s="278">
        <v>0</v>
      </c>
      <c r="AI177" s="184">
        <v>248.16029999999998</v>
      </c>
      <c r="AJ177" s="278">
        <v>4345.4282199999998</v>
      </c>
      <c r="AL177" s="278">
        <v>10839.655120000001</v>
      </c>
      <c r="AM177" s="184">
        <v>0</v>
      </c>
      <c r="AN177" s="278">
        <v>5462.0689599999996</v>
      </c>
      <c r="AO177" s="355">
        <v>4366</v>
      </c>
      <c r="AP177" s="344">
        <v>8.86</v>
      </c>
      <c r="AQ177" s="462"/>
      <c r="AS177" s="469">
        <v>5100.9367400000001</v>
      </c>
      <c r="AT177" s="278">
        <v>15207.86822</v>
      </c>
      <c r="AU177" s="464"/>
      <c r="AV177" s="346">
        <v>7051.4216200000001</v>
      </c>
      <c r="AW177" s="346">
        <v>1086.9561000000001</v>
      </c>
      <c r="AX177" s="346">
        <v>1379.0549799999999</v>
      </c>
      <c r="AY177" s="346">
        <v>9517.4326999999994</v>
      </c>
      <c r="AZ177" s="346">
        <v>2387.5149999999999</v>
      </c>
      <c r="BA177" s="278">
        <v>7.1102600000000002</v>
      </c>
      <c r="BB177" s="345">
        <v>162.42807999999999</v>
      </c>
      <c r="BC177" s="278">
        <v>75.358490000000003</v>
      </c>
      <c r="BD177" s="278">
        <v>2.06616</v>
      </c>
      <c r="BE177" s="346">
        <v>1715.99073</v>
      </c>
      <c r="BG177" s="343">
        <v>1905.9993400000001</v>
      </c>
      <c r="BH177" s="346">
        <v>0</v>
      </c>
      <c r="BI177" s="346">
        <v>0</v>
      </c>
      <c r="BJ177" s="346">
        <v>-190.00860999999998</v>
      </c>
      <c r="BK177" s="346">
        <v>-11.236360000000001</v>
      </c>
      <c r="BL177" s="346">
        <v>0</v>
      </c>
      <c r="BM177" s="346">
        <v>5.4714999999999998</v>
      </c>
      <c r="BN177" s="346">
        <v>-184.24375000000001</v>
      </c>
      <c r="BP177" s="346">
        <v>15903.14399</v>
      </c>
      <c r="BQ177" s="318">
        <v>1579.4446699999999</v>
      </c>
      <c r="BR177" s="278">
        <v>-136.54606000000001</v>
      </c>
      <c r="BS177" s="475">
        <v>-9053.232759999999</v>
      </c>
      <c r="BT177" s="278">
        <v>1547.385</v>
      </c>
      <c r="BU177" s="278">
        <v>246.63900000000001</v>
      </c>
      <c r="BV177" s="345">
        <v>3901.9020599999999</v>
      </c>
      <c r="BX177" s="278">
        <v>16962.194080000001</v>
      </c>
      <c r="BY177" s="483">
        <v>0</v>
      </c>
      <c r="BZ177" s="483">
        <v>6122.5389599999999</v>
      </c>
      <c r="CA177" s="260"/>
      <c r="CB177" s="347">
        <v>9.5</v>
      </c>
      <c r="CC177" s="486">
        <f t="shared" si="2"/>
        <v>9.5</v>
      </c>
      <c r="CD177" s="287"/>
      <c r="CE177" s="278"/>
      <c r="CF177" s="268"/>
      <c r="CI177" s="158">
        <v>0</v>
      </c>
      <c r="CJ177" s="343">
        <v>1703.7231127061611</v>
      </c>
      <c r="CK177" s="343">
        <v>2225.3693171024515</v>
      </c>
      <c r="CL177" s="343">
        <v>2248.3425221412599</v>
      </c>
      <c r="CM177" s="487">
        <v>2339.860571146337</v>
      </c>
      <c r="CN177" s="487">
        <v>3089.442177172562</v>
      </c>
      <c r="CO177" s="495">
        <v>-349.93200000000002</v>
      </c>
      <c r="CP177" s="299"/>
      <c r="CQ177" s="489">
        <v>0</v>
      </c>
      <c r="CR177" s="489">
        <v>0</v>
      </c>
    </row>
    <row r="178" spans="1:96" x14ac:dyDescent="0.2">
      <c r="A178" s="154">
        <v>581</v>
      </c>
      <c r="B178" s="156" t="s">
        <v>205</v>
      </c>
      <c r="C178" s="337">
        <v>6240</v>
      </c>
      <c r="D178" s="276">
        <v>21.999999999999996</v>
      </c>
      <c r="E178" s="185"/>
      <c r="G178" s="278">
        <v>20346.02421</v>
      </c>
      <c r="H178" s="278">
        <v>67567.308730000004</v>
      </c>
      <c r="I178" s="278"/>
      <c r="J178" s="278">
        <v>20328.673879999998</v>
      </c>
      <c r="K178" s="278">
        <v>3486.0034100000003</v>
      </c>
      <c r="L178" s="278">
        <v>2042.24728</v>
      </c>
      <c r="M178" s="278">
        <v>25856.924569999999</v>
      </c>
      <c r="N178" s="278">
        <v>22187.976999999999</v>
      </c>
      <c r="O178" s="278">
        <v>4.1765799999999995</v>
      </c>
      <c r="P178" s="278">
        <v>127.00389</v>
      </c>
      <c r="Q178" s="278">
        <v>181.00704999999999</v>
      </c>
      <c r="R178" s="278">
        <v>637.64072999999996</v>
      </c>
      <c r="S178" s="278">
        <v>335.54588999999999</v>
      </c>
      <c r="U178" s="278">
        <v>1917.4519700000001</v>
      </c>
      <c r="V178" s="278">
        <v>0</v>
      </c>
      <c r="W178" s="278">
        <v>0</v>
      </c>
      <c r="X178" s="278">
        <v>-1581.90608</v>
      </c>
      <c r="Y178" s="278">
        <v>0</v>
      </c>
      <c r="Z178" s="278">
        <v>0</v>
      </c>
      <c r="AA178" s="278">
        <v>0</v>
      </c>
      <c r="AB178" s="278">
        <v>-1581.90608</v>
      </c>
      <c r="AD178" s="278">
        <v>9852.509039999999</v>
      </c>
      <c r="AE178" s="157">
        <v>255.50551000000002</v>
      </c>
      <c r="AF178" s="184">
        <v>-80.040379999999999</v>
      </c>
      <c r="AG178" s="278">
        <v>-1449.1489199999999</v>
      </c>
      <c r="AH178" s="278">
        <v>156.49773999999999</v>
      </c>
      <c r="AI178" s="184">
        <v>142.27026000000001</v>
      </c>
      <c r="AJ178" s="278">
        <v>3227.2414600000002</v>
      </c>
      <c r="AL178" s="278">
        <v>20663.196</v>
      </c>
      <c r="AM178" s="184">
        <v>-80.194460000000007</v>
      </c>
      <c r="AN178" s="278">
        <v>-234.358</v>
      </c>
      <c r="AO178" s="355">
        <v>6123</v>
      </c>
      <c r="AP178" s="344">
        <v>9.36</v>
      </c>
      <c r="AQ178" s="462"/>
      <c r="AS178" s="469">
        <v>5501.0023799999999</v>
      </c>
      <c r="AT178" s="278">
        <v>20506.78458</v>
      </c>
      <c r="AU178" s="464"/>
      <c r="AV178" s="346">
        <v>10446.526750000001</v>
      </c>
      <c r="AW178" s="346">
        <v>2341.6450800000002</v>
      </c>
      <c r="AX178" s="346">
        <v>2129.5296499999999</v>
      </c>
      <c r="AY178" s="346">
        <v>14917.70148</v>
      </c>
      <c r="AZ178" s="346">
        <v>5295.6890000000003</v>
      </c>
      <c r="BA178" s="278">
        <v>44.259900000000002</v>
      </c>
      <c r="BB178" s="345">
        <v>374.37119999999999</v>
      </c>
      <c r="BC178" s="278">
        <v>80.140470000000008</v>
      </c>
      <c r="BD178" s="278">
        <v>617.37716</v>
      </c>
      <c r="BE178" s="346">
        <v>4431.0921799999996</v>
      </c>
      <c r="BG178" s="343">
        <v>2230.8520099999996</v>
      </c>
      <c r="BH178" s="343">
        <v>0</v>
      </c>
      <c r="BI178" s="343">
        <v>0</v>
      </c>
      <c r="BJ178" s="346">
        <v>2200.24017</v>
      </c>
      <c r="BK178" s="343">
        <v>0</v>
      </c>
      <c r="BL178" s="343">
        <v>0</v>
      </c>
      <c r="BM178" s="343">
        <v>0</v>
      </c>
      <c r="BN178" s="346">
        <v>2200.24017</v>
      </c>
      <c r="BP178" s="346">
        <v>12052.749209999998</v>
      </c>
      <c r="BQ178" s="318">
        <v>4375.0535</v>
      </c>
      <c r="BR178" s="278">
        <v>-56.038679999999999</v>
      </c>
      <c r="BS178" s="475">
        <v>-1731.9223500000001</v>
      </c>
      <c r="BT178" s="278">
        <v>141.71600000000001</v>
      </c>
      <c r="BU178" s="278">
        <v>85.466309999999993</v>
      </c>
      <c r="BV178" s="345">
        <v>1246.11454</v>
      </c>
      <c r="BX178" s="278">
        <v>17005.298000000003</v>
      </c>
      <c r="BY178" s="483">
        <v>7.0555399999999997</v>
      </c>
      <c r="BZ178" s="483">
        <v>-3657.8980000000001</v>
      </c>
      <c r="CA178" s="260"/>
      <c r="CB178" s="347">
        <v>9.4</v>
      </c>
      <c r="CC178" s="486">
        <f t="shared" si="2"/>
        <v>9.4</v>
      </c>
      <c r="CD178" s="287"/>
      <c r="CE178" s="278"/>
      <c r="CF178" s="268"/>
      <c r="CI178" s="158">
        <v>0</v>
      </c>
      <c r="CJ178" s="343">
        <v>3127.7870857148441</v>
      </c>
      <c r="CK178" s="343">
        <v>3801.1468070425622</v>
      </c>
      <c r="CL178" s="343">
        <v>4011.3213397754157</v>
      </c>
      <c r="CM178" s="487">
        <v>4039.6656297366776</v>
      </c>
      <c r="CN178" s="487">
        <v>4828.2445202525487</v>
      </c>
      <c r="CO178" s="495">
        <v>-449.37200000000001</v>
      </c>
      <c r="CP178" s="299"/>
      <c r="CQ178" s="489">
        <v>91.389830000000003</v>
      </c>
      <c r="CR178" s="489">
        <v>90.831890000000001</v>
      </c>
    </row>
    <row r="179" spans="1:96" x14ac:dyDescent="0.2">
      <c r="A179" s="154">
        <v>599</v>
      </c>
      <c r="B179" s="156" t="s">
        <v>206</v>
      </c>
      <c r="C179" s="337">
        <v>11206</v>
      </c>
      <c r="D179" s="276">
        <v>21</v>
      </c>
      <c r="E179" s="185"/>
      <c r="G179" s="278">
        <v>15904.142669999999</v>
      </c>
      <c r="H179" s="278">
        <v>85056.507069999992</v>
      </c>
      <c r="I179" s="278"/>
      <c r="J179" s="278">
        <v>34743.706760000001</v>
      </c>
      <c r="K179" s="278">
        <v>4547.1870799999997</v>
      </c>
      <c r="L179" s="278">
        <v>2546.3561600000003</v>
      </c>
      <c r="M179" s="278">
        <v>41837.25</v>
      </c>
      <c r="N179" s="278">
        <v>32036.555</v>
      </c>
      <c r="O179" s="278">
        <v>41.79945</v>
      </c>
      <c r="P179" s="278">
        <v>157.55895000000001</v>
      </c>
      <c r="Q179" s="278">
        <v>245.88981000000001</v>
      </c>
      <c r="R179" s="278">
        <v>29.280290000000001</v>
      </c>
      <c r="S179" s="278">
        <v>4958.9113699999998</v>
      </c>
      <c r="U179" s="278">
        <v>2645.1130899999998</v>
      </c>
      <c r="V179" s="278">
        <v>0</v>
      </c>
      <c r="W179" s="278">
        <v>0</v>
      </c>
      <c r="X179" s="278">
        <v>2313.79828</v>
      </c>
      <c r="Y179" s="278">
        <v>-44.879739999999998</v>
      </c>
      <c r="Z179" s="278">
        <v>0</v>
      </c>
      <c r="AA179" s="278">
        <v>0</v>
      </c>
      <c r="AB179" s="278">
        <v>2358.6780199999998</v>
      </c>
      <c r="AD179" s="278">
        <v>14356.571199999998</v>
      </c>
      <c r="AE179" s="157">
        <v>4234.2519299999994</v>
      </c>
      <c r="AF179" s="184">
        <v>-724.6594399999999</v>
      </c>
      <c r="AG179" s="278">
        <v>-8965.62255</v>
      </c>
      <c r="AH179" s="278">
        <v>13.9331</v>
      </c>
      <c r="AI179" s="184">
        <v>991.02446999999995</v>
      </c>
      <c r="AJ179" s="278">
        <v>6727.4382299999997</v>
      </c>
      <c r="AL179" s="278">
        <v>32964.207470000008</v>
      </c>
      <c r="AM179" s="184">
        <v>360.12554</v>
      </c>
      <c r="AN179" s="278">
        <v>-2033.5174999999999</v>
      </c>
      <c r="AO179" s="355">
        <v>11225</v>
      </c>
      <c r="AP179" s="344">
        <v>8.36</v>
      </c>
      <c r="AQ179" s="462"/>
      <c r="AS179" s="469">
        <v>13727.18543</v>
      </c>
      <c r="AT179" s="278">
        <v>47958.772499999999</v>
      </c>
      <c r="AU179" s="464"/>
      <c r="AV179" s="346">
        <v>18412.357929999998</v>
      </c>
      <c r="AW179" s="346">
        <v>3048.85034</v>
      </c>
      <c r="AX179" s="346">
        <v>2581.7694700000002</v>
      </c>
      <c r="AY179" s="346">
        <v>24042.977739999998</v>
      </c>
      <c r="AZ179" s="346">
        <v>15287.4</v>
      </c>
      <c r="BA179" s="278">
        <v>53.81467</v>
      </c>
      <c r="BB179" s="345">
        <v>786.59384999999997</v>
      </c>
      <c r="BC179" s="278">
        <v>406.94466999999997</v>
      </c>
      <c r="BD179" s="278">
        <v>37.93562</v>
      </c>
      <c r="BE179" s="346">
        <v>4935.6905800000004</v>
      </c>
      <c r="BG179" s="343">
        <v>2747.6671000000001</v>
      </c>
      <c r="BH179" s="343">
        <v>0</v>
      </c>
      <c r="BI179" s="343">
        <v>0</v>
      </c>
      <c r="BJ179" s="346">
        <v>2188.0234799999998</v>
      </c>
      <c r="BK179" s="346">
        <v>-44.879739999999998</v>
      </c>
      <c r="BL179" s="346">
        <v>0</v>
      </c>
      <c r="BM179" s="346">
        <v>0</v>
      </c>
      <c r="BN179" s="346">
        <v>2232.9032200000001</v>
      </c>
      <c r="BP179" s="346">
        <v>16589.474419999999</v>
      </c>
      <c r="BQ179" s="318">
        <v>4809.7458799999995</v>
      </c>
      <c r="BR179" s="278">
        <v>-125.9447</v>
      </c>
      <c r="BS179" s="475">
        <v>-16166.43283</v>
      </c>
      <c r="BT179" s="278">
        <v>436.2953</v>
      </c>
      <c r="BU179" s="278">
        <v>132.11099999999999</v>
      </c>
      <c r="BV179" s="345">
        <v>4961.9756900000002</v>
      </c>
      <c r="BX179" s="278">
        <v>46930.689969999999</v>
      </c>
      <c r="BY179" s="483">
        <v>924.26722999999993</v>
      </c>
      <c r="BZ179" s="483">
        <v>13966.4825</v>
      </c>
      <c r="CA179" s="260"/>
      <c r="CB179" s="347">
        <v>9</v>
      </c>
      <c r="CC179" s="486">
        <f t="shared" si="2"/>
        <v>9</v>
      </c>
      <c r="CD179" s="287"/>
      <c r="CE179" s="278"/>
      <c r="CF179" s="268"/>
      <c r="CI179" s="158">
        <v>0</v>
      </c>
      <c r="CJ179" s="343">
        <v>15309.578322898511</v>
      </c>
      <c r="CK179" s="343">
        <v>15677.274067608048</v>
      </c>
      <c r="CL179" s="343">
        <v>16306.425290335055</v>
      </c>
      <c r="CM179" s="487">
        <v>16973.719398902234</v>
      </c>
      <c r="CN179" s="487">
        <v>17689.431294337781</v>
      </c>
      <c r="CO179" s="495">
        <v>-1057.316</v>
      </c>
      <c r="CP179" s="299"/>
      <c r="CQ179" s="489">
        <v>136.62074999999999</v>
      </c>
      <c r="CR179" s="489">
        <v>200.67004</v>
      </c>
    </row>
    <row r="180" spans="1:96" x14ac:dyDescent="0.2">
      <c r="A180" s="154">
        <v>583</v>
      </c>
      <c r="B180" s="156" t="s">
        <v>207</v>
      </c>
      <c r="C180" s="337">
        <v>947</v>
      </c>
      <c r="D180" s="276">
        <v>22</v>
      </c>
      <c r="E180" s="185"/>
      <c r="G180" s="278">
        <v>2306.92443</v>
      </c>
      <c r="H180" s="278">
        <v>10998.208460000002</v>
      </c>
      <c r="I180" s="278"/>
      <c r="J180" s="278">
        <v>3231.5331000000001</v>
      </c>
      <c r="K180" s="278">
        <v>647.99884999999995</v>
      </c>
      <c r="L180" s="278">
        <v>1993.33349</v>
      </c>
      <c r="M180" s="278">
        <v>5872.8654400000005</v>
      </c>
      <c r="N180" s="278">
        <v>5178.5280000000002</v>
      </c>
      <c r="O180" s="278">
        <v>21.685410000000001</v>
      </c>
      <c r="P180" s="278">
        <v>151.65988000000002</v>
      </c>
      <c r="Q180" s="278">
        <v>149.08889000000002</v>
      </c>
      <c r="R180" s="278">
        <v>2.7305100000000002</v>
      </c>
      <c r="S180" s="278">
        <v>2376.49332</v>
      </c>
      <c r="U180" s="278">
        <v>303.92131999999998</v>
      </c>
      <c r="V180" s="278">
        <v>0</v>
      </c>
      <c r="W180" s="278">
        <v>0</v>
      </c>
      <c r="X180" s="278">
        <v>2072.5720000000001</v>
      </c>
      <c r="Y180" s="278">
        <v>0</v>
      </c>
      <c r="Z180" s="278">
        <v>0</v>
      </c>
      <c r="AA180" s="278">
        <v>0</v>
      </c>
      <c r="AB180" s="278">
        <v>2072.5720000000001</v>
      </c>
      <c r="AD180" s="278">
        <v>5603.7038899999998</v>
      </c>
      <c r="AE180" s="157">
        <v>2261.3892400000004</v>
      </c>
      <c r="AF180" s="184">
        <v>-23.800259999999998</v>
      </c>
      <c r="AG180" s="278">
        <v>-3325.9005999999999</v>
      </c>
      <c r="AH180" s="278">
        <v>20.668099999999999</v>
      </c>
      <c r="AI180" s="184">
        <v>22</v>
      </c>
      <c r="AJ180" s="278">
        <v>979.34694999999999</v>
      </c>
      <c r="AL180" s="278">
        <v>6930.991</v>
      </c>
      <c r="AM180" s="184">
        <v>96.009360000000001</v>
      </c>
      <c r="AN180" s="278">
        <v>975.01599999999996</v>
      </c>
      <c r="AO180" s="355">
        <v>912</v>
      </c>
      <c r="AP180" s="344">
        <v>9.36</v>
      </c>
      <c r="AQ180" s="462"/>
      <c r="AS180" s="469">
        <v>1553.1134199999999</v>
      </c>
      <c r="AT180" s="278">
        <v>4926.0153600000003</v>
      </c>
      <c r="AU180" s="464"/>
      <c r="AV180" s="346">
        <v>1729.16013</v>
      </c>
      <c r="AW180" s="346">
        <v>282.50885</v>
      </c>
      <c r="AX180" s="346">
        <v>2155.6484599999999</v>
      </c>
      <c r="AY180" s="346">
        <v>4167.3174399999998</v>
      </c>
      <c r="AZ180" s="346">
        <v>172.98500000000001</v>
      </c>
      <c r="BA180" s="278">
        <v>19.831150000000001</v>
      </c>
      <c r="BB180" s="345">
        <v>130.94137000000001</v>
      </c>
      <c r="BC180" s="278">
        <v>6.5244300000000006</v>
      </c>
      <c r="BD180" s="278">
        <v>0.57877000000000001</v>
      </c>
      <c r="BE180" s="346">
        <v>946.55525</v>
      </c>
      <c r="BG180" s="343">
        <v>528.36838999999998</v>
      </c>
      <c r="BH180" s="343">
        <v>0</v>
      </c>
      <c r="BI180" s="343">
        <v>0</v>
      </c>
      <c r="BJ180" s="346">
        <v>418.18685999999997</v>
      </c>
      <c r="BK180" s="343">
        <v>0</v>
      </c>
      <c r="BL180" s="343">
        <v>0</v>
      </c>
      <c r="BM180" s="343">
        <v>0</v>
      </c>
      <c r="BN180" s="346">
        <v>418.18685999999997</v>
      </c>
      <c r="BP180" s="346">
        <v>5991.8907499999996</v>
      </c>
      <c r="BQ180" s="318">
        <v>826.32</v>
      </c>
      <c r="BR180" s="278">
        <v>-120.235</v>
      </c>
      <c r="BS180" s="475">
        <v>-1179.624</v>
      </c>
      <c r="BT180" s="278">
        <v>442.01299999999998</v>
      </c>
      <c r="BU180" s="278">
        <v>295</v>
      </c>
      <c r="BV180" s="345">
        <v>1834.6610000000001</v>
      </c>
      <c r="BX180" s="278">
        <v>7177.8922500000008</v>
      </c>
      <c r="BY180" s="483">
        <v>315.577</v>
      </c>
      <c r="BZ180" s="483">
        <v>311.26600000000002</v>
      </c>
      <c r="CA180" s="260"/>
      <c r="CB180" s="347">
        <v>9.1</v>
      </c>
      <c r="CC180" s="486">
        <f t="shared" si="2"/>
        <v>9.1</v>
      </c>
      <c r="CD180" s="287"/>
      <c r="CE180" s="278"/>
      <c r="CF180" s="268"/>
      <c r="CI180" s="158">
        <v>0</v>
      </c>
      <c r="CJ180" s="343">
        <v>627.71705047354476</v>
      </c>
      <c r="CK180" s="343">
        <v>526.70001722690449</v>
      </c>
      <c r="CL180" s="343">
        <v>599.145544562346</v>
      </c>
      <c r="CM180" s="487">
        <v>642.06317557523403</v>
      </c>
      <c r="CN180" s="487">
        <v>793.56914951246313</v>
      </c>
      <c r="CO180" s="495">
        <v>-233.22399999999999</v>
      </c>
      <c r="CP180" s="299"/>
      <c r="CQ180" s="489">
        <v>0</v>
      </c>
      <c r="CR180" s="489">
        <v>84.319310000000002</v>
      </c>
    </row>
    <row r="181" spans="1:96" x14ac:dyDescent="0.2">
      <c r="A181" s="154">
        <v>854</v>
      </c>
      <c r="B181" s="156" t="s">
        <v>208</v>
      </c>
      <c r="C181" s="337">
        <v>3262</v>
      </c>
      <c r="D181" s="276">
        <v>21.25</v>
      </c>
      <c r="E181" s="185"/>
      <c r="G181" s="278">
        <v>4636.3698800000002</v>
      </c>
      <c r="H181" s="278">
        <v>33807.853130000003</v>
      </c>
      <c r="I181" s="278"/>
      <c r="J181" s="278">
        <v>10852.333279999999</v>
      </c>
      <c r="K181" s="278">
        <v>1328.80232</v>
      </c>
      <c r="L181" s="278">
        <v>987.49294999999995</v>
      </c>
      <c r="M181" s="278">
        <v>13168.628550000001</v>
      </c>
      <c r="N181" s="278">
        <v>16961.097000000002</v>
      </c>
      <c r="O181" s="278">
        <v>8.92197</v>
      </c>
      <c r="P181" s="278">
        <v>14.220690000000001</v>
      </c>
      <c r="Q181" s="278">
        <v>767.10552000000007</v>
      </c>
      <c r="R181" s="278">
        <v>3.8114499999999998</v>
      </c>
      <c r="S181" s="278">
        <v>1716.2376499999998</v>
      </c>
      <c r="U181" s="278">
        <v>1032.16254</v>
      </c>
      <c r="V181" s="278">
        <v>0</v>
      </c>
      <c r="W181" s="278">
        <v>0</v>
      </c>
      <c r="X181" s="278">
        <v>684.07511</v>
      </c>
      <c r="Y181" s="278">
        <v>-52.3</v>
      </c>
      <c r="Z181" s="278">
        <v>0</v>
      </c>
      <c r="AA181" s="278">
        <v>0</v>
      </c>
      <c r="AB181" s="278">
        <v>736.37510999999995</v>
      </c>
      <c r="AD181" s="278">
        <v>1479.9156200000002</v>
      </c>
      <c r="AE181" s="157">
        <v>1693.28432</v>
      </c>
      <c r="AF181" s="184">
        <v>-22.953330000000001</v>
      </c>
      <c r="AG181" s="278">
        <v>-1252.0980099999999</v>
      </c>
      <c r="AH181" s="278">
        <v>90.118920000000003</v>
      </c>
      <c r="AI181" s="184">
        <v>51.55</v>
      </c>
      <c r="AJ181" s="278">
        <v>880.7396</v>
      </c>
      <c r="AL181" s="278">
        <v>3476.6109999999999</v>
      </c>
      <c r="AM181" s="184">
        <v>-77.415999999999997</v>
      </c>
      <c r="AN181" s="278">
        <v>-938.51199999999994</v>
      </c>
      <c r="AO181" s="355">
        <v>3253</v>
      </c>
      <c r="AP181" s="344">
        <v>8.6099999999999977</v>
      </c>
      <c r="AQ181" s="462"/>
      <c r="AS181" s="469">
        <v>2240.5617499999998</v>
      </c>
      <c r="AT181" s="278">
        <v>11337.880220000001</v>
      </c>
      <c r="AU181" s="464"/>
      <c r="AV181" s="346">
        <v>5345.8751700000003</v>
      </c>
      <c r="AW181" s="346">
        <v>854.65506999999991</v>
      </c>
      <c r="AX181" s="346">
        <v>1029.1380100000001</v>
      </c>
      <c r="AY181" s="346">
        <v>7229.6682499999997</v>
      </c>
      <c r="AZ181" s="346">
        <v>3560.7919999999999</v>
      </c>
      <c r="BA181" s="278">
        <v>38.060050000000004</v>
      </c>
      <c r="BB181" s="345">
        <v>96.593089999999989</v>
      </c>
      <c r="BC181" s="278">
        <v>371.69729999999998</v>
      </c>
      <c r="BD181" s="278">
        <v>5.15374</v>
      </c>
      <c r="BE181" s="346">
        <v>2001.1523</v>
      </c>
      <c r="BG181" s="343">
        <v>1069.9184399999999</v>
      </c>
      <c r="BH181" s="343">
        <v>0</v>
      </c>
      <c r="BI181" s="343">
        <v>0</v>
      </c>
      <c r="BJ181" s="346">
        <v>931.23385999999994</v>
      </c>
      <c r="BK181" s="346">
        <v>-52.3</v>
      </c>
      <c r="BL181" s="343">
        <v>0</v>
      </c>
      <c r="BM181" s="343">
        <v>0</v>
      </c>
      <c r="BN181" s="346">
        <v>983.53386</v>
      </c>
      <c r="BP181" s="346">
        <v>2463.4494800000002</v>
      </c>
      <c r="BQ181" s="318">
        <v>1942.73542</v>
      </c>
      <c r="BR181" s="278">
        <v>-58.416879999999999</v>
      </c>
      <c r="BS181" s="475">
        <v>-594.27869999999996</v>
      </c>
      <c r="BT181" s="278">
        <v>30.553849999999997</v>
      </c>
      <c r="BU181" s="278">
        <v>62.467800000000004</v>
      </c>
      <c r="BV181" s="345">
        <v>212.50089000000003</v>
      </c>
      <c r="BX181" s="278">
        <v>2248.0989999999997</v>
      </c>
      <c r="BY181" s="483">
        <v>10.17076</v>
      </c>
      <c r="BZ181" s="483">
        <v>-1228.5119999999999</v>
      </c>
      <c r="CA181" s="260"/>
      <c r="CB181" s="347">
        <v>9</v>
      </c>
      <c r="CC181" s="486">
        <f t="shared" si="2"/>
        <v>9</v>
      </c>
      <c r="CD181" s="287"/>
      <c r="CE181" s="278"/>
      <c r="CF181" s="268"/>
      <c r="CI181" s="158">
        <v>0</v>
      </c>
      <c r="CJ181" s="343">
        <v>2122.143187472886</v>
      </c>
      <c r="CK181" s="343">
        <v>2596.8937993088357</v>
      </c>
      <c r="CL181" s="343">
        <v>2626.3145551231291</v>
      </c>
      <c r="CM181" s="487">
        <v>2767.0671040703464</v>
      </c>
      <c r="CN181" s="487">
        <v>3317.6711268085278</v>
      </c>
      <c r="CO181" s="495">
        <v>-437.02300000000002</v>
      </c>
      <c r="CP181" s="299"/>
      <c r="CQ181" s="489">
        <v>0</v>
      </c>
      <c r="CR181" s="489">
        <v>0</v>
      </c>
    </row>
    <row r="182" spans="1:96" x14ac:dyDescent="0.2">
      <c r="A182" s="154">
        <v>584</v>
      </c>
      <c r="B182" s="156" t="s">
        <v>209</v>
      </c>
      <c r="C182" s="337">
        <v>2653</v>
      </c>
      <c r="D182" s="276">
        <v>21.5</v>
      </c>
      <c r="E182" s="185"/>
      <c r="G182" s="278">
        <v>2854.0561200000002</v>
      </c>
      <c r="H182" s="278">
        <v>24459.124050000002</v>
      </c>
      <c r="I182" s="278"/>
      <c r="J182" s="278">
        <v>6745.2574599999998</v>
      </c>
      <c r="K182" s="278">
        <v>1070.2800099999999</v>
      </c>
      <c r="L182" s="278">
        <v>878.99527999999998</v>
      </c>
      <c r="M182" s="278">
        <v>8694.5327500000003</v>
      </c>
      <c r="N182" s="278">
        <v>13673.179</v>
      </c>
      <c r="O182" s="278">
        <v>235.32580999999999</v>
      </c>
      <c r="P182" s="278">
        <v>129.64693</v>
      </c>
      <c r="Q182" s="278">
        <v>181.10320999999999</v>
      </c>
      <c r="R182" s="278">
        <v>660.99043000000006</v>
      </c>
      <c r="S182" s="278">
        <v>388.43547999999998</v>
      </c>
      <c r="U182" s="278">
        <v>1338.4664599999999</v>
      </c>
      <c r="V182" s="278">
        <v>0</v>
      </c>
      <c r="W182" s="278">
        <v>0</v>
      </c>
      <c r="X182" s="278">
        <v>-950.03098</v>
      </c>
      <c r="Y182" s="278">
        <v>-3.5476799999999997</v>
      </c>
      <c r="Z182" s="278">
        <v>0</v>
      </c>
      <c r="AA182" s="278">
        <v>-300</v>
      </c>
      <c r="AB182" s="278">
        <v>-646.4833000000001</v>
      </c>
      <c r="AD182" s="278">
        <v>4645.9282700000003</v>
      </c>
      <c r="AE182" s="157">
        <v>408.64011999999997</v>
      </c>
      <c r="AF182" s="184">
        <v>20.204639999999998</v>
      </c>
      <c r="AG182" s="278">
        <v>-1201.58446</v>
      </c>
      <c r="AH182" s="278">
        <v>51.418970000000002</v>
      </c>
      <c r="AI182" s="184">
        <v>30.461950000000002</v>
      </c>
      <c r="AJ182" s="278">
        <v>6999.2666500000005</v>
      </c>
      <c r="AL182" s="278">
        <v>17097.328000000001</v>
      </c>
      <c r="AM182" s="184">
        <v>0</v>
      </c>
      <c r="AN182" s="278">
        <v>-1390.982</v>
      </c>
      <c r="AO182" s="355">
        <v>2578</v>
      </c>
      <c r="AP182" s="344">
        <v>8.86</v>
      </c>
      <c r="AQ182" s="462"/>
      <c r="AS182" s="469">
        <v>2615.6533799999997</v>
      </c>
      <c r="AT182" s="278">
        <v>12184.270480000001</v>
      </c>
      <c r="AU182" s="464"/>
      <c r="AV182" s="346">
        <v>3432.8573300000003</v>
      </c>
      <c r="AW182" s="346">
        <v>664.82074</v>
      </c>
      <c r="AX182" s="346">
        <v>929.0319300000001</v>
      </c>
      <c r="AY182" s="346">
        <v>5026.71</v>
      </c>
      <c r="AZ182" s="346">
        <v>5676.7730000000001</v>
      </c>
      <c r="BA182" s="278">
        <v>162.71464</v>
      </c>
      <c r="BB182" s="345">
        <v>306.49308000000002</v>
      </c>
      <c r="BC182" s="278">
        <v>492.30508000000003</v>
      </c>
      <c r="BD182" s="278">
        <v>138.27701999999999</v>
      </c>
      <c r="BE182" s="346">
        <v>1345.1155200000001</v>
      </c>
      <c r="BG182" s="343">
        <v>1415.85924</v>
      </c>
      <c r="BH182" s="343">
        <v>0</v>
      </c>
      <c r="BI182" s="343">
        <v>0</v>
      </c>
      <c r="BJ182" s="346">
        <v>-70.743719999999996</v>
      </c>
      <c r="BK182" s="346">
        <v>-3.5476799999999997</v>
      </c>
      <c r="BL182" s="343">
        <v>0</v>
      </c>
      <c r="BM182" s="343">
        <v>0</v>
      </c>
      <c r="BN182" s="346">
        <v>-67.196039999999996</v>
      </c>
      <c r="BP182" s="346">
        <v>4578.7322299999996</v>
      </c>
      <c r="BQ182" s="318">
        <v>1336.4218500000002</v>
      </c>
      <c r="BR182" s="278">
        <v>-8.6936700000000009</v>
      </c>
      <c r="BS182" s="475">
        <v>-2296.4681700000001</v>
      </c>
      <c r="BT182" s="278">
        <v>230.80803</v>
      </c>
      <c r="BU182" s="278">
        <v>10.388999999999999</v>
      </c>
      <c r="BV182" s="345">
        <v>8500.6387300000006</v>
      </c>
      <c r="BX182" s="278">
        <v>19504.323999999997</v>
      </c>
      <c r="BY182" s="483">
        <v>0</v>
      </c>
      <c r="BZ182" s="483">
        <v>2406.9960000000001</v>
      </c>
      <c r="CA182" s="260"/>
      <c r="CB182" s="347">
        <v>9.3000000000000007</v>
      </c>
      <c r="CC182" s="486">
        <f t="shared" si="2"/>
        <v>9.3000000000000007</v>
      </c>
      <c r="CD182" s="287"/>
      <c r="CE182" s="278"/>
      <c r="CF182" s="268"/>
      <c r="CI182" s="158">
        <v>0</v>
      </c>
      <c r="CJ182" s="343">
        <v>5399.7016520845009</v>
      </c>
      <c r="CK182" s="343">
        <v>5477.7911413586617</v>
      </c>
      <c r="CL182" s="343">
        <v>5509.9852766906561</v>
      </c>
      <c r="CM182" s="487">
        <v>5500.1538476850874</v>
      </c>
      <c r="CN182" s="487">
        <v>5937.4020917049984</v>
      </c>
      <c r="CO182" s="495">
        <v>217.38200000000001</v>
      </c>
      <c r="CP182" s="299"/>
      <c r="CQ182" s="489">
        <v>0</v>
      </c>
      <c r="CR182" s="489">
        <v>0</v>
      </c>
    </row>
    <row r="183" spans="1:96" x14ac:dyDescent="0.2">
      <c r="A183" s="154">
        <v>588</v>
      </c>
      <c r="B183" s="156" t="s">
        <v>210</v>
      </c>
      <c r="C183" s="337">
        <v>1600</v>
      </c>
      <c r="D183" s="276">
        <v>21.5</v>
      </c>
      <c r="E183" s="185"/>
      <c r="G183" s="278">
        <v>1801.2319499999999</v>
      </c>
      <c r="H183" s="278">
        <v>15599.476000000001</v>
      </c>
      <c r="I183" s="278"/>
      <c r="J183" s="278">
        <v>4557.3963899999999</v>
      </c>
      <c r="K183" s="278">
        <v>1209.6704499999998</v>
      </c>
      <c r="L183" s="278">
        <v>966.76796999999999</v>
      </c>
      <c r="M183" s="278">
        <v>6733.8348099999994</v>
      </c>
      <c r="N183" s="278">
        <v>6294.3329999999996</v>
      </c>
      <c r="O183" s="278">
        <v>16.78876</v>
      </c>
      <c r="P183" s="278">
        <v>43.576620000000005</v>
      </c>
      <c r="Q183" s="278">
        <v>133.47162</v>
      </c>
      <c r="R183" s="278">
        <v>2.1309999999999999E-2</v>
      </c>
      <c r="S183" s="278">
        <v>-663.41379000000006</v>
      </c>
      <c r="U183" s="278">
        <v>483.61420000000004</v>
      </c>
      <c r="V183" s="278">
        <v>879.95973000000004</v>
      </c>
      <c r="W183" s="278">
        <v>153.85871</v>
      </c>
      <c r="X183" s="278">
        <v>-420.92696999999998</v>
      </c>
      <c r="Y183" s="278">
        <v>0</v>
      </c>
      <c r="Z183" s="278">
        <v>0</v>
      </c>
      <c r="AA183" s="278">
        <v>0</v>
      </c>
      <c r="AB183" s="278">
        <v>-420.92696999999998</v>
      </c>
      <c r="AD183" s="278">
        <v>-3436.9314799999997</v>
      </c>
      <c r="AE183" s="157">
        <v>114.16536000000001</v>
      </c>
      <c r="AF183" s="184">
        <v>51.47813</v>
      </c>
      <c r="AG183" s="278">
        <v>-1066.9056399999999</v>
      </c>
      <c r="AH183" s="278">
        <v>0</v>
      </c>
      <c r="AI183" s="184">
        <v>1114.14096</v>
      </c>
      <c r="AJ183" s="278">
        <v>791.75691000000006</v>
      </c>
      <c r="AL183" s="278">
        <v>7812.5129199999992</v>
      </c>
      <c r="AM183" s="184">
        <v>-3.2</v>
      </c>
      <c r="AN183" s="278">
        <v>-379.58668</v>
      </c>
      <c r="AO183" s="355">
        <v>1577</v>
      </c>
      <c r="AP183" s="344">
        <v>8.86</v>
      </c>
      <c r="AQ183" s="462"/>
      <c r="AS183" s="469">
        <v>1501.9799399999999</v>
      </c>
      <c r="AT183" s="278">
        <v>5388.6204699999998</v>
      </c>
      <c r="AU183" s="464"/>
      <c r="AV183" s="346">
        <v>2518.74289</v>
      </c>
      <c r="AW183" s="346">
        <v>659.63386000000003</v>
      </c>
      <c r="AX183" s="346">
        <v>988.40862000000004</v>
      </c>
      <c r="AY183" s="346">
        <v>4166.7853700000005</v>
      </c>
      <c r="AZ183" s="346">
        <v>-141.58000000000001</v>
      </c>
      <c r="BA183" s="278">
        <v>8.3922399999999993</v>
      </c>
      <c r="BB183" s="345">
        <v>281.36149</v>
      </c>
      <c r="BC183" s="278">
        <v>91.327389999999994</v>
      </c>
      <c r="BD183" s="278">
        <v>0.62634000000000001</v>
      </c>
      <c r="BE183" s="346">
        <v>-43.703360000000004</v>
      </c>
      <c r="BG183" s="343">
        <v>413.88130000000001</v>
      </c>
      <c r="BH183" s="343">
        <v>973.20245999999997</v>
      </c>
      <c r="BI183" s="346">
        <v>0</v>
      </c>
      <c r="BJ183" s="346">
        <v>515.61779999999999</v>
      </c>
      <c r="BK183" s="346">
        <v>0</v>
      </c>
      <c r="BL183" s="343">
        <v>0</v>
      </c>
      <c r="BM183" s="343">
        <v>0</v>
      </c>
      <c r="BN183" s="346">
        <v>515.61779999999999</v>
      </c>
      <c r="BP183" s="346">
        <v>-2921.3136800000002</v>
      </c>
      <c r="BQ183" s="318">
        <v>-91.083179999999999</v>
      </c>
      <c r="BR183" s="278">
        <v>-1020.5822800000001</v>
      </c>
      <c r="BS183" s="475">
        <v>-16.290649999999999</v>
      </c>
      <c r="BT183" s="278">
        <v>0</v>
      </c>
      <c r="BU183" s="278">
        <v>1011</v>
      </c>
      <c r="BV183" s="345">
        <v>1349.3237199999999</v>
      </c>
      <c r="BX183" s="278">
        <v>7732.9262399999998</v>
      </c>
      <c r="BY183" s="483">
        <v>6</v>
      </c>
      <c r="BZ183" s="483">
        <v>-79.586679999999987</v>
      </c>
      <c r="CA183" s="260"/>
      <c r="CB183" s="347">
        <v>8.9</v>
      </c>
      <c r="CC183" s="486">
        <f t="shared" si="2"/>
        <v>8.9</v>
      </c>
      <c r="CD183" s="287"/>
      <c r="CE183" s="278"/>
      <c r="CF183" s="268"/>
      <c r="CI183" s="158">
        <v>0</v>
      </c>
      <c r="CJ183" s="343">
        <v>-549.75628474017049</v>
      </c>
      <c r="CK183" s="343">
        <v>0</v>
      </c>
      <c r="CL183" s="343">
        <v>0</v>
      </c>
      <c r="CM183" s="487">
        <v>0</v>
      </c>
      <c r="CN183" s="487">
        <v>0</v>
      </c>
      <c r="CO183" s="495">
        <v>-384.43900000000002</v>
      </c>
      <c r="CP183" s="299"/>
      <c r="CQ183" s="489">
        <v>0</v>
      </c>
      <c r="CR183" s="489">
        <v>0</v>
      </c>
    </row>
    <row r="184" spans="1:96" x14ac:dyDescent="0.2">
      <c r="A184" s="154">
        <v>592</v>
      </c>
      <c r="B184" s="156" t="s">
        <v>211</v>
      </c>
      <c r="C184" s="337">
        <v>3651</v>
      </c>
      <c r="D184" s="276">
        <v>21.75</v>
      </c>
      <c r="E184" s="185"/>
      <c r="G184" s="278">
        <v>3588.42688</v>
      </c>
      <c r="H184" s="278">
        <v>30033.529429999999</v>
      </c>
      <c r="I184" s="278"/>
      <c r="J184" s="278">
        <v>11878.29334</v>
      </c>
      <c r="K184" s="278">
        <v>1860.42589</v>
      </c>
      <c r="L184" s="278">
        <v>1085.8416499999998</v>
      </c>
      <c r="M184" s="278">
        <v>14824.560880000001</v>
      </c>
      <c r="N184" s="278">
        <v>11019.107</v>
      </c>
      <c r="O184" s="278">
        <v>23.67794</v>
      </c>
      <c r="P184" s="278">
        <v>66.575289999999995</v>
      </c>
      <c r="Q184" s="278">
        <v>168.26695999999998</v>
      </c>
      <c r="R184" s="278">
        <v>416.08815999999996</v>
      </c>
      <c r="S184" s="278">
        <v>-892.15321999999992</v>
      </c>
      <c r="U184" s="278">
        <v>1005.44222</v>
      </c>
      <c r="V184" s="278">
        <v>0</v>
      </c>
      <c r="W184" s="278">
        <v>0</v>
      </c>
      <c r="X184" s="278">
        <v>-1897.5954400000001</v>
      </c>
      <c r="Y184" s="278">
        <v>-9.7548999999999992</v>
      </c>
      <c r="Z184" s="278">
        <v>0</v>
      </c>
      <c r="AA184" s="278">
        <v>0</v>
      </c>
      <c r="AB184" s="278">
        <v>-1887.8405400000001</v>
      </c>
      <c r="AD184" s="278">
        <v>2246.4401200000002</v>
      </c>
      <c r="AE184" s="157">
        <v>-1180.9880500000002</v>
      </c>
      <c r="AF184" s="184">
        <v>-288.83483000000001</v>
      </c>
      <c r="AG184" s="278">
        <v>-1629.9789900000001</v>
      </c>
      <c r="AH184" s="278">
        <v>599.11588000000006</v>
      </c>
      <c r="AI184" s="184">
        <v>30.378310000000003</v>
      </c>
      <c r="AJ184" s="278">
        <v>5382.6981699999997</v>
      </c>
      <c r="AL184" s="278">
        <v>15728.272999999999</v>
      </c>
      <c r="AM184" s="184">
        <v>30.96</v>
      </c>
      <c r="AN184" s="278">
        <v>1896.27</v>
      </c>
      <c r="AO184" s="355">
        <v>3596</v>
      </c>
      <c r="AP184" s="344">
        <v>9.11</v>
      </c>
      <c r="AQ184" s="462"/>
      <c r="AS184" s="469">
        <v>2917.1088599999998</v>
      </c>
      <c r="AT184" s="278">
        <v>14614.17108</v>
      </c>
      <c r="AU184" s="464"/>
      <c r="AV184" s="346">
        <v>6495.49071</v>
      </c>
      <c r="AW184" s="346">
        <v>916.11176</v>
      </c>
      <c r="AX184" s="346">
        <v>1144.0922499999999</v>
      </c>
      <c r="AY184" s="346">
        <v>8555.6947200000013</v>
      </c>
      <c r="AZ184" s="346">
        <v>4688.5770000000002</v>
      </c>
      <c r="BA184" s="278">
        <v>6.23306</v>
      </c>
      <c r="BB184" s="345">
        <v>595.74371999999994</v>
      </c>
      <c r="BC184" s="278">
        <v>500.61523999999997</v>
      </c>
      <c r="BD184" s="278">
        <v>172.72173999999998</v>
      </c>
      <c r="BE184" s="346">
        <v>1324.4974</v>
      </c>
      <c r="BG184" s="343">
        <v>1118.8266799999999</v>
      </c>
      <c r="BH184" s="343">
        <v>0</v>
      </c>
      <c r="BI184" s="343">
        <v>0</v>
      </c>
      <c r="BJ184" s="346">
        <v>205.67071999999999</v>
      </c>
      <c r="BK184" s="346">
        <v>-9.7548999999999992</v>
      </c>
      <c r="BL184" s="343">
        <v>0</v>
      </c>
      <c r="BM184" s="343">
        <v>0</v>
      </c>
      <c r="BN184" s="346">
        <v>215.42562000000001</v>
      </c>
      <c r="BP184" s="346">
        <v>2341.0358700000006</v>
      </c>
      <c r="BQ184" s="318">
        <v>1230.65077</v>
      </c>
      <c r="BR184" s="278">
        <v>-93.846639999999994</v>
      </c>
      <c r="BS184" s="475">
        <v>-1206.44082</v>
      </c>
      <c r="BT184" s="278">
        <v>49.318730000000002</v>
      </c>
      <c r="BU184" s="278">
        <v>152.8425</v>
      </c>
      <c r="BV184" s="345">
        <v>5867.5238899999995</v>
      </c>
      <c r="BX184" s="278">
        <v>17254.542999999998</v>
      </c>
      <c r="BY184" s="483">
        <v>-74.16</v>
      </c>
      <c r="BZ184" s="483">
        <v>1526.27</v>
      </c>
      <c r="CA184" s="260"/>
      <c r="CB184" s="347">
        <v>9.9000000000000021</v>
      </c>
      <c r="CC184" s="486">
        <f t="shared" si="2"/>
        <v>9.9000000000000021</v>
      </c>
      <c r="CD184" s="287"/>
      <c r="CE184" s="278"/>
      <c r="CF184" s="268"/>
      <c r="CI184" s="158">
        <v>0</v>
      </c>
      <c r="CJ184" s="343">
        <v>3179.5599044539294</v>
      </c>
      <c r="CK184" s="343">
        <v>3603.6440909586786</v>
      </c>
      <c r="CL184" s="343">
        <v>3894.9977608113782</v>
      </c>
      <c r="CM184" s="487">
        <v>3745.3368325636393</v>
      </c>
      <c r="CN184" s="487">
        <v>4085.6107893062431</v>
      </c>
      <c r="CO184" s="495">
        <v>-56.033999999999999</v>
      </c>
      <c r="CP184" s="299"/>
      <c r="CQ184" s="489">
        <v>0</v>
      </c>
      <c r="CR184" s="489">
        <v>38.905059999999999</v>
      </c>
    </row>
    <row r="185" spans="1:96" x14ac:dyDescent="0.2">
      <c r="A185" s="154">
        <v>593</v>
      </c>
      <c r="B185" s="156" t="s">
        <v>212</v>
      </c>
      <c r="C185" s="337">
        <v>17077</v>
      </c>
      <c r="D185" s="276">
        <v>22</v>
      </c>
      <c r="E185" s="185"/>
      <c r="G185" s="278">
        <v>22161.176350000002</v>
      </c>
      <c r="H185" s="278">
        <v>147935.04591999998</v>
      </c>
      <c r="I185" s="278"/>
      <c r="J185" s="278">
        <v>60757.968159999997</v>
      </c>
      <c r="K185" s="278">
        <v>7285.5403499999993</v>
      </c>
      <c r="L185" s="278">
        <v>4799.5204800000001</v>
      </c>
      <c r="M185" s="278">
        <v>72843.028989999992</v>
      </c>
      <c r="N185" s="278">
        <v>55291.565999999999</v>
      </c>
      <c r="O185" s="278">
        <v>648.81202000000008</v>
      </c>
      <c r="P185" s="278">
        <v>326.46154999999999</v>
      </c>
      <c r="Q185" s="278">
        <v>1205.1022800000001</v>
      </c>
      <c r="R185" s="278">
        <v>71.494489999999999</v>
      </c>
      <c r="S185" s="278">
        <v>3824.1236800000001</v>
      </c>
      <c r="U185" s="278">
        <v>6307.5015899999999</v>
      </c>
      <c r="V185" s="278">
        <v>0</v>
      </c>
      <c r="W185" s="278">
        <v>0</v>
      </c>
      <c r="X185" s="278">
        <v>-2483.3779100000002</v>
      </c>
      <c r="Y185" s="278">
        <v>-14.476929999999999</v>
      </c>
      <c r="Z185" s="278">
        <v>0</v>
      </c>
      <c r="AA185" s="278">
        <v>0</v>
      </c>
      <c r="AB185" s="278">
        <v>-2468.9009799999999</v>
      </c>
      <c r="AD185" s="278">
        <v>10855.81301</v>
      </c>
      <c r="AE185" s="157">
        <v>3889.0334199999998</v>
      </c>
      <c r="AF185" s="184">
        <v>64.909739999999999</v>
      </c>
      <c r="AG185" s="278">
        <v>-8750.1763699999992</v>
      </c>
      <c r="AH185" s="278">
        <v>1918.2001200000002</v>
      </c>
      <c r="AI185" s="184">
        <v>17.431000000000001</v>
      </c>
      <c r="AJ185" s="278">
        <v>1258.13455</v>
      </c>
      <c r="AL185" s="278">
        <v>78891.538</v>
      </c>
      <c r="AM185" s="184">
        <v>-1218.4278899999999</v>
      </c>
      <c r="AN185" s="278">
        <v>-1723.2560000000001</v>
      </c>
      <c r="AO185" s="355">
        <v>17050</v>
      </c>
      <c r="AP185" s="344">
        <v>9.36</v>
      </c>
      <c r="AQ185" s="462"/>
      <c r="AS185" s="469">
        <v>13538.82416</v>
      </c>
      <c r="AT185" s="278">
        <v>50654.857909999999</v>
      </c>
      <c r="AU185" s="464"/>
      <c r="AV185" s="346">
        <v>31387.678390000001</v>
      </c>
      <c r="AW185" s="346">
        <v>4174.0398399999995</v>
      </c>
      <c r="AX185" s="346">
        <v>5055.3076300000002</v>
      </c>
      <c r="AY185" s="346">
        <v>40617.025860000002</v>
      </c>
      <c r="AZ185" s="346">
        <v>5251.9279999999999</v>
      </c>
      <c r="BA185" s="278">
        <v>720.81300999999996</v>
      </c>
      <c r="BB185" s="345">
        <v>1391.0756100000001</v>
      </c>
      <c r="BC185" s="278">
        <v>1039.9176199999999</v>
      </c>
      <c r="BD185" s="278">
        <v>205.48617000000002</v>
      </c>
      <c r="BE185" s="346">
        <v>8939.7649600000004</v>
      </c>
      <c r="BG185" s="343">
        <v>6268.3506500000003</v>
      </c>
      <c r="BH185" s="343">
        <v>694.06259</v>
      </c>
      <c r="BI185" s="343">
        <v>0</v>
      </c>
      <c r="BJ185" s="346">
        <v>3365.4769000000001</v>
      </c>
      <c r="BK185" s="343">
        <v>-14.476929999999999</v>
      </c>
      <c r="BL185" s="343">
        <v>0</v>
      </c>
      <c r="BM185" s="343">
        <v>0</v>
      </c>
      <c r="BN185" s="346">
        <v>3379.9538299999999</v>
      </c>
      <c r="BP185" s="346">
        <v>14235.76684</v>
      </c>
      <c r="BQ185" s="318">
        <v>11251.222890000001</v>
      </c>
      <c r="BR185" s="278">
        <v>2311.45793</v>
      </c>
      <c r="BS185" s="475">
        <v>-6916.4976399999996</v>
      </c>
      <c r="BT185" s="278">
        <v>321.08616999999998</v>
      </c>
      <c r="BU185" s="278">
        <v>322.31117999999998</v>
      </c>
      <c r="BV185" s="345">
        <v>1020.4509499999999</v>
      </c>
      <c r="BX185" s="278">
        <v>81189.532000000007</v>
      </c>
      <c r="BY185" s="483">
        <v>-76.817189999999997</v>
      </c>
      <c r="BZ185" s="483">
        <v>2297.9940000000001</v>
      </c>
      <c r="CA185" s="260"/>
      <c r="CB185" s="347">
        <v>9.4</v>
      </c>
      <c r="CC185" s="486">
        <f t="shared" si="2"/>
        <v>9.4</v>
      </c>
      <c r="CD185" s="287"/>
      <c r="CE185" s="278"/>
      <c r="CF185" s="268"/>
      <c r="CI185" s="158">
        <v>0</v>
      </c>
      <c r="CJ185" s="343">
        <v>2414.1926119327177</v>
      </c>
      <c r="CK185" s="343">
        <v>4709.3824619312654</v>
      </c>
      <c r="CL185" s="343">
        <v>6091.4556014594982</v>
      </c>
      <c r="CM185" s="487">
        <v>6364.4040382072944</v>
      </c>
      <c r="CN185" s="487">
        <v>8678.3009255300622</v>
      </c>
      <c r="CO185" s="495">
        <v>-1802.328</v>
      </c>
      <c r="CP185" s="299"/>
      <c r="CQ185" s="489">
        <v>7.44</v>
      </c>
      <c r="CR185" s="489">
        <v>22.675999999999998</v>
      </c>
    </row>
    <row r="186" spans="1:96" x14ac:dyDescent="0.2">
      <c r="A186" s="154">
        <v>595</v>
      </c>
      <c r="B186" s="156" t="s">
        <v>213</v>
      </c>
      <c r="C186" s="337">
        <v>4140</v>
      </c>
      <c r="D186" s="276">
        <v>21.749999999999996</v>
      </c>
      <c r="E186" s="185"/>
      <c r="G186" s="278">
        <v>5701.6230999999998</v>
      </c>
      <c r="H186" s="278">
        <v>40388.133829999999</v>
      </c>
      <c r="I186" s="278"/>
      <c r="J186" s="278">
        <v>11317.68936</v>
      </c>
      <c r="K186" s="278">
        <v>2546.4226200000003</v>
      </c>
      <c r="L186" s="278">
        <v>1250.34178</v>
      </c>
      <c r="M186" s="278">
        <v>15114.45376</v>
      </c>
      <c r="N186" s="278">
        <v>22937.553</v>
      </c>
      <c r="O186" s="278">
        <v>13.08165</v>
      </c>
      <c r="P186" s="278">
        <v>85.704050000000009</v>
      </c>
      <c r="Q186" s="278">
        <v>712.42604000000006</v>
      </c>
      <c r="R186" s="278">
        <v>6.3519199999999998</v>
      </c>
      <c r="S186" s="278">
        <v>4001.1130499999999</v>
      </c>
      <c r="U186" s="278">
        <v>2501.1130499999999</v>
      </c>
      <c r="V186" s="278">
        <v>0</v>
      </c>
      <c r="W186" s="278">
        <v>0</v>
      </c>
      <c r="X186" s="278">
        <v>1500</v>
      </c>
      <c r="Y186" s="278">
        <v>0</v>
      </c>
      <c r="Z186" s="278">
        <v>0</v>
      </c>
      <c r="AA186" s="278">
        <v>0</v>
      </c>
      <c r="AB186" s="278">
        <v>1500</v>
      </c>
      <c r="AD186" s="278">
        <v>4909.6366600000001</v>
      </c>
      <c r="AE186" s="157">
        <v>3919.4698800000001</v>
      </c>
      <c r="AF186" s="184">
        <v>-81.643169999999998</v>
      </c>
      <c r="AG186" s="278">
        <v>-2327.2644300000002</v>
      </c>
      <c r="AH186" s="278">
        <v>0</v>
      </c>
      <c r="AI186" s="184">
        <v>310.63249999999999</v>
      </c>
      <c r="AJ186" s="278">
        <v>8587.8070500000013</v>
      </c>
      <c r="AL186" s="278">
        <v>10837.14214</v>
      </c>
      <c r="AM186" s="184">
        <v>0.52</v>
      </c>
      <c r="AN186" s="278">
        <v>-665.25199999999995</v>
      </c>
      <c r="AO186" s="355">
        <v>4073</v>
      </c>
      <c r="AP186" s="344">
        <v>9.1100000000000012</v>
      </c>
      <c r="AQ186" s="462"/>
      <c r="AS186" s="469">
        <v>4317.9224100000001</v>
      </c>
      <c r="AT186" s="278">
        <v>16096.69781</v>
      </c>
      <c r="AU186" s="464"/>
      <c r="AV186" s="346">
        <v>5457.3516500000005</v>
      </c>
      <c r="AW186" s="346">
        <v>1443.48614</v>
      </c>
      <c r="AX186" s="346">
        <v>1226.77774</v>
      </c>
      <c r="AY186" s="346">
        <v>8127.61553</v>
      </c>
      <c r="AZ186" s="346">
        <v>5460.2539999999999</v>
      </c>
      <c r="BA186" s="278">
        <v>195.27681000000001</v>
      </c>
      <c r="BB186" s="345">
        <v>254.04805999999999</v>
      </c>
      <c r="BC186" s="278">
        <v>765.98644999999999</v>
      </c>
      <c r="BD186" s="278">
        <v>1.3248</v>
      </c>
      <c r="BE186" s="346">
        <v>2514.9845299999997</v>
      </c>
      <c r="BG186" s="343">
        <v>1687.85761</v>
      </c>
      <c r="BH186" s="343">
        <v>0</v>
      </c>
      <c r="BI186" s="343">
        <v>0</v>
      </c>
      <c r="BJ186" s="346">
        <v>827.12692000000004</v>
      </c>
      <c r="BK186" s="346">
        <v>0</v>
      </c>
      <c r="BL186" s="343">
        <v>800</v>
      </c>
      <c r="BM186" s="343">
        <v>0</v>
      </c>
      <c r="BN186" s="346">
        <v>27.126919999999998</v>
      </c>
      <c r="BP186" s="346">
        <v>4936.7635799999998</v>
      </c>
      <c r="BQ186" s="318">
        <v>3096.1160299999997</v>
      </c>
      <c r="BR186" s="278">
        <v>581.13149999999996</v>
      </c>
      <c r="BS186" s="475">
        <v>-844.25116000000003</v>
      </c>
      <c r="BT186" s="278">
        <v>8</v>
      </c>
      <c r="BU186" s="278">
        <v>71.35457000000001</v>
      </c>
      <c r="BV186" s="345">
        <v>10235.527880000001</v>
      </c>
      <c r="BX186" s="278">
        <v>10332.77614</v>
      </c>
      <c r="BY186" s="483">
        <v>0</v>
      </c>
      <c r="BZ186" s="483">
        <v>-504.36599999999999</v>
      </c>
      <c r="CA186" s="260"/>
      <c r="CB186" s="347">
        <v>9.1000000000000014</v>
      </c>
      <c r="CC186" s="486">
        <f t="shared" si="2"/>
        <v>9.1000000000000014</v>
      </c>
      <c r="CD186" s="287"/>
      <c r="CE186" s="278"/>
      <c r="CF186" s="268"/>
      <c r="CI186" s="158">
        <v>0</v>
      </c>
      <c r="CJ186" s="343">
        <v>5609.0404214174487</v>
      </c>
      <c r="CK186" s="343">
        <v>5587.3634078066088</v>
      </c>
      <c r="CL186" s="343">
        <v>5651.9403280737051</v>
      </c>
      <c r="CM186" s="487">
        <v>5509.2964562256429</v>
      </c>
      <c r="CN186" s="487">
        <v>6086.6795688446564</v>
      </c>
      <c r="CO186" s="495">
        <v>24.245999999999999</v>
      </c>
      <c r="CP186" s="299"/>
      <c r="CQ186" s="489">
        <v>2.1653000000000002</v>
      </c>
      <c r="CR186" s="489">
        <v>0</v>
      </c>
    </row>
    <row r="187" spans="1:96" x14ac:dyDescent="0.2">
      <c r="A187" s="154">
        <v>598</v>
      </c>
      <c r="B187" s="156" t="s">
        <v>214</v>
      </c>
      <c r="C187" s="337">
        <v>19207</v>
      </c>
      <c r="D187" s="276">
        <v>21.25</v>
      </c>
      <c r="E187" s="185"/>
      <c r="G187" s="278">
        <v>25635.598999999995</v>
      </c>
      <c r="H187" s="278">
        <v>163477.791</v>
      </c>
      <c r="I187" s="278"/>
      <c r="J187" s="278">
        <v>73783.373000000007</v>
      </c>
      <c r="K187" s="278">
        <v>11920.459000000001</v>
      </c>
      <c r="L187" s="278">
        <v>6924.54</v>
      </c>
      <c r="M187" s="278">
        <v>92628.372000000003</v>
      </c>
      <c r="N187" s="278">
        <v>50229.853999999999</v>
      </c>
      <c r="O187" s="278">
        <v>291.07299999999998</v>
      </c>
      <c r="P187" s="278">
        <v>1232.7750000000001</v>
      </c>
      <c r="Q187" s="278">
        <v>1617.9179999999999</v>
      </c>
      <c r="R187" s="278">
        <v>44.683</v>
      </c>
      <c r="S187" s="278">
        <v>6171.433</v>
      </c>
      <c r="U187" s="278">
        <v>6902.6289999999999</v>
      </c>
      <c r="V187" s="278">
        <v>0</v>
      </c>
      <c r="W187" s="278">
        <v>0</v>
      </c>
      <c r="X187" s="278">
        <v>-731.19600000000003</v>
      </c>
      <c r="Y187" s="278">
        <v>0</v>
      </c>
      <c r="Z187" s="278">
        <v>0</v>
      </c>
      <c r="AA187" s="278">
        <v>0</v>
      </c>
      <c r="AB187" s="278">
        <v>-731.19600000000003</v>
      </c>
      <c r="AD187" s="278">
        <v>63389.93</v>
      </c>
      <c r="AE187" s="157">
        <v>6053.6189999999997</v>
      </c>
      <c r="AF187" s="184">
        <v>-117.81399999999999</v>
      </c>
      <c r="AG187" s="278">
        <v>-8027.99</v>
      </c>
      <c r="AH187" s="278">
        <v>385.113</v>
      </c>
      <c r="AI187" s="184">
        <v>410.99</v>
      </c>
      <c r="AJ187" s="278">
        <v>2475.7059999999997</v>
      </c>
      <c r="AL187" s="278">
        <v>66500</v>
      </c>
      <c r="AM187" s="184">
        <v>-2431.5940000000001</v>
      </c>
      <c r="AN187" s="278">
        <v>-7000</v>
      </c>
      <c r="AO187" s="355">
        <v>19475</v>
      </c>
      <c r="AP187" s="344">
        <v>8.61</v>
      </c>
      <c r="AQ187" s="462"/>
      <c r="AS187" s="469">
        <v>22489.38681</v>
      </c>
      <c r="AT187" s="278">
        <v>75943.71789</v>
      </c>
      <c r="AU187" s="464"/>
      <c r="AV187" s="346">
        <v>37568.325579999997</v>
      </c>
      <c r="AW187" s="346">
        <v>8236.6880999999994</v>
      </c>
      <c r="AX187" s="346">
        <v>7589.2866699999995</v>
      </c>
      <c r="AY187" s="346">
        <v>53394.300350000005</v>
      </c>
      <c r="AZ187" s="346">
        <v>8796.0400000000009</v>
      </c>
      <c r="BA187" s="278">
        <v>1193.77025</v>
      </c>
      <c r="BB187" s="345">
        <v>2530.22057</v>
      </c>
      <c r="BC187" s="278">
        <v>4275.0477499999997</v>
      </c>
      <c r="BD187" s="278">
        <v>517.08516999999995</v>
      </c>
      <c r="BE187" s="346">
        <v>11656.72624</v>
      </c>
      <c r="BG187" s="343">
        <v>6993.6378199999999</v>
      </c>
      <c r="BH187" s="343">
        <v>0</v>
      </c>
      <c r="BI187" s="346">
        <v>0</v>
      </c>
      <c r="BJ187" s="346">
        <v>4663.08842</v>
      </c>
      <c r="BK187" s="343">
        <v>0</v>
      </c>
      <c r="BL187" s="343">
        <v>2900</v>
      </c>
      <c r="BM187" s="343">
        <v>0</v>
      </c>
      <c r="BN187" s="346">
        <v>1763.0884199999998</v>
      </c>
      <c r="BP187" s="346">
        <v>66195.040249999991</v>
      </c>
      <c r="BQ187" s="318">
        <v>11432.634</v>
      </c>
      <c r="BR187" s="278">
        <v>-224.09200000000001</v>
      </c>
      <c r="BS187" s="475">
        <v>-8417.7520000000004</v>
      </c>
      <c r="BT187" s="278">
        <v>410.47899999999998</v>
      </c>
      <c r="BU187" s="278">
        <v>226.7</v>
      </c>
      <c r="BV187" s="345">
        <v>2380.9299999999998</v>
      </c>
      <c r="BX187" s="278">
        <v>79000</v>
      </c>
      <c r="BY187" s="483">
        <v>-447.95800000000003</v>
      </c>
      <c r="BZ187" s="483">
        <v>12500</v>
      </c>
      <c r="CA187" s="260"/>
      <c r="CB187" s="347">
        <v>9</v>
      </c>
      <c r="CC187" s="486">
        <f t="shared" si="2"/>
        <v>9</v>
      </c>
      <c r="CD187" s="287"/>
      <c r="CE187" s="278"/>
      <c r="CF187" s="268"/>
      <c r="CI187" s="158">
        <v>0</v>
      </c>
      <c r="CJ187" s="343">
        <v>5517.157435383313</v>
      </c>
      <c r="CK187" s="343">
        <v>9172.890082042275</v>
      </c>
      <c r="CL187" s="343">
        <v>10014.319877926866</v>
      </c>
      <c r="CM187" s="487">
        <v>10610.046468388617</v>
      </c>
      <c r="CN187" s="487">
        <v>11878.735226448309</v>
      </c>
      <c r="CO187" s="495">
        <v>3070.6480000000001</v>
      </c>
      <c r="CP187" s="299"/>
      <c r="CQ187" s="489">
        <v>523.86599999999999</v>
      </c>
      <c r="CR187" s="489">
        <v>499.20471000000003</v>
      </c>
    </row>
    <row r="188" spans="1:96" x14ac:dyDescent="0.2">
      <c r="A188" s="154">
        <v>601</v>
      </c>
      <c r="B188" s="156" t="s">
        <v>215</v>
      </c>
      <c r="C188" s="337">
        <v>3786</v>
      </c>
      <c r="D188" s="276">
        <v>21</v>
      </c>
      <c r="E188" s="185"/>
      <c r="G188" s="278">
        <v>7110.1737499999999</v>
      </c>
      <c r="H188" s="278">
        <v>38769.268560000004</v>
      </c>
      <c r="I188" s="278"/>
      <c r="J188" s="278">
        <v>10729.70804</v>
      </c>
      <c r="K188" s="278">
        <v>2848.5453399999997</v>
      </c>
      <c r="L188" s="278">
        <v>1154.4688100000001</v>
      </c>
      <c r="M188" s="278">
        <v>14732.722189999999</v>
      </c>
      <c r="N188" s="278">
        <v>19161.115000000002</v>
      </c>
      <c r="O188" s="278">
        <v>106.84755</v>
      </c>
      <c r="P188" s="278">
        <v>155.69342</v>
      </c>
      <c r="Q188" s="278">
        <v>112.93897</v>
      </c>
      <c r="R188" s="278">
        <v>314.28724999999997</v>
      </c>
      <c r="S188" s="278">
        <v>1984.5482299999999</v>
      </c>
      <c r="U188" s="278">
        <v>1714.95355</v>
      </c>
      <c r="V188" s="278">
        <v>0</v>
      </c>
      <c r="W188" s="278">
        <v>0</v>
      </c>
      <c r="X188" s="278">
        <v>269.59467999999998</v>
      </c>
      <c r="Y188" s="278">
        <v>-89.894179999999992</v>
      </c>
      <c r="Z188" s="278">
        <v>0</v>
      </c>
      <c r="AA188" s="278">
        <v>0</v>
      </c>
      <c r="AB188" s="278">
        <v>359.48885999999999</v>
      </c>
      <c r="AD188" s="278">
        <v>6780.9278000000004</v>
      </c>
      <c r="AE188" s="157">
        <v>1935.08709</v>
      </c>
      <c r="AF188" s="184">
        <v>-49.46114</v>
      </c>
      <c r="AG188" s="278">
        <v>-1462.88653</v>
      </c>
      <c r="AH188" s="278">
        <v>40.597830000000002</v>
      </c>
      <c r="AI188" s="184">
        <v>60.972389999999997</v>
      </c>
      <c r="AJ188" s="278">
        <v>10229.194029999999</v>
      </c>
      <c r="AL188" s="278">
        <v>20931.066999999999</v>
      </c>
      <c r="AM188" s="184">
        <v>0</v>
      </c>
      <c r="AN188" s="278">
        <v>-1260.0840000000001</v>
      </c>
      <c r="AO188" s="355">
        <v>3739</v>
      </c>
      <c r="AP188" s="344">
        <v>8.3600000000000012</v>
      </c>
      <c r="AQ188" s="462"/>
      <c r="AS188" s="469">
        <v>5349.7095099999997</v>
      </c>
      <c r="AT188" s="278">
        <v>16355.734380000002</v>
      </c>
      <c r="AU188" s="464"/>
      <c r="AV188" s="346">
        <v>5214.0389999999998</v>
      </c>
      <c r="AW188" s="346">
        <v>1988.143</v>
      </c>
      <c r="AX188" s="346">
        <v>1189.0820000000001</v>
      </c>
      <c r="AY188" s="346">
        <v>8391.2639999999992</v>
      </c>
      <c r="AZ188" s="346">
        <v>6113.3379999999997</v>
      </c>
      <c r="BA188" s="278">
        <v>54.218710000000002</v>
      </c>
      <c r="BB188" s="345">
        <v>553.23820999999998</v>
      </c>
      <c r="BC188" s="278">
        <v>51.420940000000002</v>
      </c>
      <c r="BD188" s="278">
        <v>61.587890000000002</v>
      </c>
      <c r="BE188" s="346">
        <v>2989.39068</v>
      </c>
      <c r="BG188" s="343">
        <v>1694.0332900000001</v>
      </c>
      <c r="BH188" s="346">
        <v>0</v>
      </c>
      <c r="BI188" s="346">
        <v>0</v>
      </c>
      <c r="BJ188" s="346">
        <v>1295.3573899999999</v>
      </c>
      <c r="BK188" s="343">
        <v>-58.757190000000001</v>
      </c>
      <c r="BL188" s="343">
        <v>0</v>
      </c>
      <c r="BM188" s="343">
        <v>0</v>
      </c>
      <c r="BN188" s="346">
        <v>1354.1145800000002</v>
      </c>
      <c r="BP188" s="346">
        <v>8135.0423799999999</v>
      </c>
      <c r="BQ188" s="318">
        <v>2984.52502</v>
      </c>
      <c r="BR188" s="278">
        <v>-4.8656600000000001</v>
      </c>
      <c r="BS188" s="475">
        <v>-2064.4032999999999</v>
      </c>
      <c r="BT188" s="278">
        <v>131.9402</v>
      </c>
      <c r="BU188" s="278">
        <v>258.63117</v>
      </c>
      <c r="BV188" s="345">
        <v>7357.9645199999995</v>
      </c>
      <c r="BX188" s="278">
        <v>18170.983</v>
      </c>
      <c r="BY188" s="483">
        <v>0</v>
      </c>
      <c r="BZ188" s="483">
        <v>-2760.0839999999998</v>
      </c>
      <c r="CA188" s="260"/>
      <c r="CB188" s="347">
        <v>8.4</v>
      </c>
      <c r="CC188" s="486">
        <f t="shared" si="2"/>
        <v>8.4</v>
      </c>
      <c r="CD188" s="287"/>
      <c r="CE188" s="278"/>
      <c r="CF188" s="268"/>
      <c r="CG188" s="266"/>
      <c r="CI188" s="158">
        <v>0</v>
      </c>
      <c r="CJ188" s="343">
        <v>5244.7321798699104</v>
      </c>
      <c r="CK188" s="343">
        <v>5393.7504412303888</v>
      </c>
      <c r="CL188" s="343">
        <v>5272.570156359372</v>
      </c>
      <c r="CM188" s="487">
        <v>5150.0052740637566</v>
      </c>
      <c r="CN188" s="487">
        <v>5537.3577550452628</v>
      </c>
      <c r="CO188" s="495">
        <v>269.35199999999998</v>
      </c>
      <c r="CP188" s="299"/>
      <c r="CQ188" s="489">
        <v>0</v>
      </c>
      <c r="CR188" s="489">
        <v>0</v>
      </c>
    </row>
    <row r="189" spans="1:96" x14ac:dyDescent="0.2">
      <c r="A189" s="154">
        <v>604</v>
      </c>
      <c r="B189" s="156" t="s">
        <v>216</v>
      </c>
      <c r="C189" s="337">
        <v>20405</v>
      </c>
      <c r="D189" s="276">
        <v>20.5</v>
      </c>
      <c r="E189" s="185"/>
      <c r="G189" s="278">
        <v>37447.000899999999</v>
      </c>
      <c r="H189" s="278">
        <v>154166.50949999999</v>
      </c>
      <c r="I189" s="278"/>
      <c r="J189" s="278">
        <v>97222.615310000008</v>
      </c>
      <c r="K189" s="278">
        <v>8702.7602799999986</v>
      </c>
      <c r="L189" s="278">
        <v>5996.4824800000006</v>
      </c>
      <c r="M189" s="278">
        <v>111921.85806999999</v>
      </c>
      <c r="N189" s="278">
        <v>19545.307000000001</v>
      </c>
      <c r="O189" s="278">
        <v>0</v>
      </c>
      <c r="P189" s="278">
        <v>927.34279000000004</v>
      </c>
      <c r="Q189" s="278">
        <v>420.76249999999999</v>
      </c>
      <c r="R189" s="278">
        <v>102.16132</v>
      </c>
      <c r="S189" s="278">
        <v>14138.914859999999</v>
      </c>
      <c r="U189" s="278">
        <v>9941.8506899999993</v>
      </c>
      <c r="V189" s="278">
        <v>0</v>
      </c>
      <c r="W189" s="278">
        <v>0</v>
      </c>
      <c r="X189" s="278">
        <v>4197.0641699999996</v>
      </c>
      <c r="Y189" s="278">
        <v>-620</v>
      </c>
      <c r="Z189" s="278">
        <v>0</v>
      </c>
      <c r="AA189" s="278">
        <v>0</v>
      </c>
      <c r="AB189" s="278">
        <v>4817.0641699999996</v>
      </c>
      <c r="AD189" s="278">
        <v>49637.639029999998</v>
      </c>
      <c r="AE189" s="157">
        <v>10665.248</v>
      </c>
      <c r="AF189" s="184">
        <v>-3473.6668599999998</v>
      </c>
      <c r="AG189" s="278">
        <v>-19652.48172</v>
      </c>
      <c r="AH189" s="278">
        <v>0</v>
      </c>
      <c r="AI189" s="184">
        <v>3620.56</v>
      </c>
      <c r="AJ189" s="278">
        <v>7839.9794900000006</v>
      </c>
      <c r="AL189" s="278">
        <v>66275.000019999992</v>
      </c>
      <c r="AM189" s="184">
        <v>0</v>
      </c>
      <c r="AN189" s="278">
        <v>-1550</v>
      </c>
      <c r="AO189" s="355">
        <v>20763</v>
      </c>
      <c r="AP189" s="344">
        <v>7.86</v>
      </c>
      <c r="AQ189" s="462"/>
      <c r="AS189" s="469">
        <v>12543.389800000001</v>
      </c>
      <c r="AT189" s="278">
        <v>71523.425099999993</v>
      </c>
      <c r="AU189" s="464"/>
      <c r="AV189" s="346">
        <v>48351.164380000002</v>
      </c>
      <c r="AW189" s="346">
        <v>6620.9989000000005</v>
      </c>
      <c r="AX189" s="346">
        <v>6930.9395800000002</v>
      </c>
      <c r="AY189" s="346">
        <v>61903.102859999999</v>
      </c>
      <c r="AZ189" s="346">
        <v>16175.627</v>
      </c>
      <c r="BA189" s="278">
        <v>13.320040000000001</v>
      </c>
      <c r="BB189" s="345">
        <v>1510.3567800000001</v>
      </c>
      <c r="BC189" s="278">
        <v>438.33796000000001</v>
      </c>
      <c r="BD189" s="278">
        <v>12.263680000000001</v>
      </c>
      <c r="BE189" s="346">
        <v>18027.732100000001</v>
      </c>
      <c r="BG189" s="343">
        <v>10482.015029999999</v>
      </c>
      <c r="BH189" s="343">
        <v>0</v>
      </c>
      <c r="BI189" s="343">
        <v>0</v>
      </c>
      <c r="BJ189" s="346">
        <v>7545.7170700000006</v>
      </c>
      <c r="BK189" s="346">
        <v>-620</v>
      </c>
      <c r="BL189" s="343">
        <v>0</v>
      </c>
      <c r="BM189" s="343">
        <v>0</v>
      </c>
      <c r="BN189" s="346">
        <v>8165.7170700000006</v>
      </c>
      <c r="BP189" s="346">
        <v>57803.356099999997</v>
      </c>
      <c r="BQ189" s="318">
        <v>18022.732100000001</v>
      </c>
      <c r="BR189" s="278">
        <v>-5</v>
      </c>
      <c r="BS189" s="475">
        <v>-18306.429379999998</v>
      </c>
      <c r="BT189" s="278">
        <v>884.48699999999997</v>
      </c>
      <c r="BU189" s="278">
        <v>16.04</v>
      </c>
      <c r="BV189" s="345">
        <v>3951.7690200000002</v>
      </c>
      <c r="BX189" s="278">
        <v>65425.000020000007</v>
      </c>
      <c r="BY189" s="483">
        <v>0</v>
      </c>
      <c r="BZ189" s="483">
        <v>-850</v>
      </c>
      <c r="CA189" s="260"/>
      <c r="CB189" s="347">
        <v>7.9</v>
      </c>
      <c r="CC189" s="486">
        <f t="shared" si="2"/>
        <v>7.9</v>
      </c>
      <c r="CD189" s="287"/>
      <c r="CE189" s="278"/>
      <c r="CF189" s="268"/>
      <c r="CI189" s="158">
        <v>0</v>
      </c>
      <c r="CJ189" s="343">
        <v>15513.276682693642</v>
      </c>
      <c r="CK189" s="343">
        <v>16316.755367592727</v>
      </c>
      <c r="CL189" s="343">
        <v>16269.560055801248</v>
      </c>
      <c r="CM189" s="487">
        <v>16062.999962224545</v>
      </c>
      <c r="CN189" s="487">
        <v>16832.955539025497</v>
      </c>
      <c r="CO189" s="495">
        <v>-2654.73</v>
      </c>
      <c r="CP189" s="299"/>
      <c r="CQ189" s="489">
        <v>0</v>
      </c>
      <c r="CR189" s="489">
        <v>0</v>
      </c>
    </row>
    <row r="190" spans="1:96" x14ac:dyDescent="0.2">
      <c r="A190" s="154">
        <v>607</v>
      </c>
      <c r="B190" s="156" t="s">
        <v>217</v>
      </c>
      <c r="C190" s="337">
        <v>4084</v>
      </c>
      <c r="D190" s="276">
        <v>20.25</v>
      </c>
      <c r="E190" s="185"/>
      <c r="G190" s="278">
        <v>4190.3533200000002</v>
      </c>
      <c r="H190" s="278">
        <v>34931.517289999996</v>
      </c>
      <c r="I190" s="278"/>
      <c r="J190" s="278">
        <v>10183.7462</v>
      </c>
      <c r="K190" s="278">
        <v>1942.2437500000001</v>
      </c>
      <c r="L190" s="278">
        <v>935.82245999999998</v>
      </c>
      <c r="M190" s="278">
        <v>13061.81241</v>
      </c>
      <c r="N190" s="278">
        <v>16815.352999999999</v>
      </c>
      <c r="O190" s="278">
        <v>2.6564299999999998</v>
      </c>
      <c r="P190" s="278">
        <v>4.2117599999999999</v>
      </c>
      <c r="Q190" s="278">
        <v>241.94438</v>
      </c>
      <c r="R190" s="278">
        <v>9.7055300000000013</v>
      </c>
      <c r="S190" s="278">
        <v>-633.31504000000007</v>
      </c>
      <c r="U190" s="278">
        <v>1551.6618100000001</v>
      </c>
      <c r="V190" s="278">
        <v>0</v>
      </c>
      <c r="W190" s="278">
        <v>0</v>
      </c>
      <c r="X190" s="278">
        <v>-2184.97685</v>
      </c>
      <c r="Y190" s="278">
        <v>-451.13812999999999</v>
      </c>
      <c r="Z190" s="278">
        <v>-197.69745</v>
      </c>
      <c r="AA190" s="278">
        <v>0</v>
      </c>
      <c r="AB190" s="278">
        <v>-1536.1412700000001</v>
      </c>
      <c r="AD190" s="278">
        <v>5259.4796500000002</v>
      </c>
      <c r="AE190" s="157">
        <v>-95.196759999999998</v>
      </c>
      <c r="AF190" s="184">
        <v>538.11831000000006</v>
      </c>
      <c r="AG190" s="278">
        <v>-2507.5035600000001</v>
      </c>
      <c r="AH190" s="278">
        <v>0</v>
      </c>
      <c r="AI190" s="184">
        <v>11.2</v>
      </c>
      <c r="AJ190" s="278">
        <v>3636.6504199999999</v>
      </c>
      <c r="AL190" s="278">
        <v>5408.3689299999996</v>
      </c>
      <c r="AM190" s="184">
        <v>-183.77686</v>
      </c>
      <c r="AN190" s="278">
        <v>5408.3689299999996</v>
      </c>
      <c r="AO190" s="355">
        <v>4064</v>
      </c>
      <c r="AP190" s="344">
        <v>7.61</v>
      </c>
      <c r="AQ190" s="462"/>
      <c r="AS190" s="469">
        <v>3105.63492</v>
      </c>
      <c r="AT190" s="278">
        <v>13522.939279999999</v>
      </c>
      <c r="AU190" s="464"/>
      <c r="AV190" s="346">
        <v>4532.3934200000003</v>
      </c>
      <c r="AW190" s="346">
        <v>1318.4602600000001</v>
      </c>
      <c r="AX190" s="346">
        <v>938.85615000000007</v>
      </c>
      <c r="AY190" s="346">
        <v>6789.7098299999998</v>
      </c>
      <c r="AZ190" s="346">
        <v>3628.4332200000003</v>
      </c>
      <c r="BA190" s="278">
        <v>19.973490000000002</v>
      </c>
      <c r="BB190" s="345">
        <v>157.84949</v>
      </c>
      <c r="BC190" s="278">
        <v>249.29458</v>
      </c>
      <c r="BD190" s="278">
        <v>8.5647900000000003</v>
      </c>
      <c r="BE190" s="346">
        <v>103.69247999999999</v>
      </c>
      <c r="BG190" s="343">
        <v>3534.4636499999997</v>
      </c>
      <c r="BH190" s="346">
        <v>0</v>
      </c>
      <c r="BI190" s="343">
        <v>0</v>
      </c>
      <c r="BJ190" s="346">
        <v>-3430.77117</v>
      </c>
      <c r="BK190" s="343">
        <v>-650.16320999999994</v>
      </c>
      <c r="BL190" s="343">
        <v>0</v>
      </c>
      <c r="BM190" s="343">
        <v>0</v>
      </c>
      <c r="BN190" s="346">
        <v>-2780.6079599999998</v>
      </c>
      <c r="BP190" s="346">
        <v>2311.1799999999998</v>
      </c>
      <c r="BQ190" s="318">
        <v>-1118.0450000000001</v>
      </c>
      <c r="BR190" s="278">
        <v>0</v>
      </c>
      <c r="BS190" s="475">
        <v>-9034.7420000000002</v>
      </c>
      <c r="BT190" s="278">
        <v>2743.0349999999999</v>
      </c>
      <c r="BU190" s="278">
        <v>7.2359999999999998</v>
      </c>
      <c r="BV190" s="345">
        <v>736.87400000000002</v>
      </c>
      <c r="BX190" s="278">
        <v>10007.7976</v>
      </c>
      <c r="BY190" s="483">
        <v>36.222999999999999</v>
      </c>
      <c r="BZ190" s="483">
        <v>4599.4290000000001</v>
      </c>
      <c r="CA190" s="260"/>
      <c r="CB190" s="347">
        <v>8.5</v>
      </c>
      <c r="CC190" s="486">
        <f t="shared" si="2"/>
        <v>8.5</v>
      </c>
      <c r="CD190" s="287"/>
      <c r="CE190" s="278"/>
      <c r="CF190" s="268"/>
      <c r="CI190" s="158">
        <v>0</v>
      </c>
      <c r="CJ190" s="343">
        <v>2669.3320526068492</v>
      </c>
      <c r="CK190" s="343">
        <v>2932.4656879452186</v>
      </c>
      <c r="CL190" s="343">
        <v>3440.7975358956273</v>
      </c>
      <c r="CM190" s="487">
        <v>3445.2642495403052</v>
      </c>
      <c r="CN190" s="487">
        <v>4022.3200017135241</v>
      </c>
      <c r="CO190" s="495">
        <v>-650.14200000000005</v>
      </c>
      <c r="CP190" s="299"/>
      <c r="CQ190" s="489">
        <v>0</v>
      </c>
      <c r="CR190" s="489">
        <v>0</v>
      </c>
    </row>
    <row r="191" spans="1:96" x14ac:dyDescent="0.2">
      <c r="A191" s="154">
        <v>608</v>
      </c>
      <c r="B191" s="156" t="s">
        <v>218</v>
      </c>
      <c r="C191" s="337">
        <v>1980</v>
      </c>
      <c r="D191" s="276">
        <v>21.5</v>
      </c>
      <c r="E191" s="185"/>
      <c r="G191" s="278">
        <v>1666.9756200000002</v>
      </c>
      <c r="H191" s="278">
        <v>16851.203659999999</v>
      </c>
      <c r="I191" s="278"/>
      <c r="J191" s="278">
        <v>6037.4277199999997</v>
      </c>
      <c r="K191" s="278">
        <v>925.51328000000001</v>
      </c>
      <c r="L191" s="278">
        <v>563.25016000000005</v>
      </c>
      <c r="M191" s="278">
        <v>7526.1911600000003</v>
      </c>
      <c r="N191" s="278">
        <v>8400.9130000000005</v>
      </c>
      <c r="O191" s="278">
        <v>6.9489999999999998</v>
      </c>
      <c r="P191" s="278">
        <v>49.205539999999999</v>
      </c>
      <c r="Q191" s="278">
        <v>22.217020000000002</v>
      </c>
      <c r="R191" s="278">
        <v>5.9911700000000003</v>
      </c>
      <c r="S191" s="278">
        <v>716.84543000000008</v>
      </c>
      <c r="U191" s="278">
        <v>496.77366999999998</v>
      </c>
      <c r="V191" s="278">
        <v>0</v>
      </c>
      <c r="W191" s="278">
        <v>0</v>
      </c>
      <c r="X191" s="278">
        <v>220.07176000000001</v>
      </c>
      <c r="Y191" s="278">
        <v>0</v>
      </c>
      <c r="Z191" s="278">
        <v>0</v>
      </c>
      <c r="AA191" s="278">
        <v>0</v>
      </c>
      <c r="AB191" s="278">
        <v>220.07176000000001</v>
      </c>
      <c r="AD191" s="278">
        <v>2957.1511500000006</v>
      </c>
      <c r="AE191" s="157">
        <v>702.86026000000004</v>
      </c>
      <c r="AF191" s="184">
        <v>-13.98517</v>
      </c>
      <c r="AG191" s="278">
        <v>-2278.5578999999998</v>
      </c>
      <c r="AH191" s="278">
        <v>0</v>
      </c>
      <c r="AI191" s="184">
        <v>331.40377000000001</v>
      </c>
      <c r="AJ191" s="278">
        <v>39.923070000000003</v>
      </c>
      <c r="AL191" s="278">
        <v>5433.482</v>
      </c>
      <c r="AM191" s="184">
        <v>-23.741580000000003</v>
      </c>
      <c r="AN191" s="278">
        <v>1358.03332</v>
      </c>
      <c r="AO191" s="355">
        <v>1943</v>
      </c>
      <c r="AP191" s="344">
        <v>8.86</v>
      </c>
      <c r="AQ191" s="462"/>
      <c r="AS191" s="469">
        <v>1677.1743899999999</v>
      </c>
      <c r="AT191" s="278">
        <v>7316.0486799999999</v>
      </c>
      <c r="AU191" s="464"/>
      <c r="AV191" s="346">
        <v>3185.4810499999999</v>
      </c>
      <c r="AW191" s="346">
        <v>539.15467000000001</v>
      </c>
      <c r="AX191" s="346">
        <v>547.41956999999991</v>
      </c>
      <c r="AY191" s="346">
        <v>4272.0552900000002</v>
      </c>
      <c r="AZ191" s="346">
        <v>2125.29</v>
      </c>
      <c r="BA191" s="278">
        <v>6.7505699999999997</v>
      </c>
      <c r="BB191" s="345">
        <v>78.282710000000009</v>
      </c>
      <c r="BC191" s="278">
        <v>11.46481</v>
      </c>
      <c r="BD191" s="278">
        <v>6.3425699999999994</v>
      </c>
      <c r="BE191" s="346">
        <v>692.06110000000001</v>
      </c>
      <c r="BG191" s="343">
        <v>582.06716000000006</v>
      </c>
      <c r="BH191" s="343">
        <v>0</v>
      </c>
      <c r="BI191" s="343">
        <v>0</v>
      </c>
      <c r="BJ191" s="346">
        <v>109.99394000000001</v>
      </c>
      <c r="BK191" s="343">
        <v>0</v>
      </c>
      <c r="BL191" s="343">
        <v>0</v>
      </c>
      <c r="BM191" s="343">
        <v>0</v>
      </c>
      <c r="BN191" s="346">
        <v>109.99394000000001</v>
      </c>
      <c r="BP191" s="346">
        <v>3067.1450899999995</v>
      </c>
      <c r="BQ191" s="318">
        <v>703.58361000000002</v>
      </c>
      <c r="BR191" s="278">
        <v>11.52251</v>
      </c>
      <c r="BS191" s="475">
        <v>-2077.4154699999999</v>
      </c>
      <c r="BT191" s="278">
        <v>0</v>
      </c>
      <c r="BU191" s="278">
        <v>364.05657000000002</v>
      </c>
      <c r="BV191" s="345">
        <v>568.65145999999993</v>
      </c>
      <c r="BX191" s="278">
        <v>6664.1579999999994</v>
      </c>
      <c r="BY191" s="483">
        <v>-13.68125</v>
      </c>
      <c r="BZ191" s="483">
        <v>1230.6759999999999</v>
      </c>
      <c r="CA191" s="260"/>
      <c r="CB191" s="347">
        <v>9.9</v>
      </c>
      <c r="CC191" s="486">
        <f t="shared" si="2"/>
        <v>9.9</v>
      </c>
      <c r="CD191" s="287"/>
      <c r="CE191" s="278"/>
      <c r="CF191" s="268"/>
      <c r="CI191" s="158">
        <v>0</v>
      </c>
      <c r="CJ191" s="343">
        <v>1679.4300212322055</v>
      </c>
      <c r="CK191" s="343">
        <v>1809.7914422408553</v>
      </c>
      <c r="CL191" s="343">
        <v>2022.4269544810877</v>
      </c>
      <c r="CM191" s="487">
        <v>2070.5398605919559</v>
      </c>
      <c r="CN191" s="487">
        <v>2431.3921700779115</v>
      </c>
      <c r="CO191" s="495">
        <v>445.55399999999997</v>
      </c>
      <c r="CP191" s="299"/>
      <c r="CQ191" s="489">
        <v>0</v>
      </c>
      <c r="CR191" s="489">
        <v>0</v>
      </c>
    </row>
    <row r="192" spans="1:96" x14ac:dyDescent="0.2">
      <c r="A192" s="271">
        <v>609</v>
      </c>
      <c r="B192" s="268" t="s">
        <v>219</v>
      </c>
      <c r="C192" s="337">
        <v>83205</v>
      </c>
      <c r="D192" s="276">
        <v>21.000000000000004</v>
      </c>
      <c r="E192" s="318"/>
      <c r="F192" s="268"/>
      <c r="G192" s="278">
        <v>205641.10155000002</v>
      </c>
      <c r="H192" s="278">
        <v>735335.92564999999</v>
      </c>
      <c r="I192" s="278"/>
      <c r="J192" s="278">
        <v>308217.95329999999</v>
      </c>
      <c r="K192" s="278">
        <v>26174.82058</v>
      </c>
      <c r="L192" s="278">
        <v>26029.671579999998</v>
      </c>
      <c r="M192" s="278">
        <v>360422.44545999996</v>
      </c>
      <c r="N192" s="278">
        <v>184313.45499999999</v>
      </c>
      <c r="O192" s="278">
        <v>6204.4133600000005</v>
      </c>
      <c r="P192" s="278">
        <v>2646.8504500000004</v>
      </c>
      <c r="Q192" s="278">
        <v>3238.4030600000001</v>
      </c>
      <c r="R192" s="278">
        <v>1785.2078600000002</v>
      </c>
      <c r="S192" s="278">
        <v>23132.726170000002</v>
      </c>
      <c r="T192" s="268"/>
      <c r="U192" s="278">
        <v>30970.53889</v>
      </c>
      <c r="V192" s="278">
        <v>0</v>
      </c>
      <c r="W192" s="278">
        <v>0</v>
      </c>
      <c r="X192" s="278">
        <v>-7837.8127199999999</v>
      </c>
      <c r="Y192" s="278">
        <v>-33.333359999999999</v>
      </c>
      <c r="Z192" s="278">
        <v>0</v>
      </c>
      <c r="AA192" s="278">
        <v>149.54667999999998</v>
      </c>
      <c r="AB192" s="278">
        <v>-7954.0260399999997</v>
      </c>
      <c r="AC192" s="268"/>
      <c r="AD192" s="278">
        <v>35971.036559999993</v>
      </c>
      <c r="AE192" s="318">
        <v>17107.789270000001</v>
      </c>
      <c r="AF192" s="278">
        <v>-6024.9368400000003</v>
      </c>
      <c r="AG192" s="278">
        <v>-54995.167799999996</v>
      </c>
      <c r="AH192" s="278">
        <v>727.36300000000006</v>
      </c>
      <c r="AI192" s="278">
        <v>13929.092859999999</v>
      </c>
      <c r="AJ192" s="278">
        <v>42574.991179999997</v>
      </c>
      <c r="AK192" s="268"/>
      <c r="AL192" s="278">
        <v>359571.39989</v>
      </c>
      <c r="AM192" s="278">
        <v>2974.0715</v>
      </c>
      <c r="AN192" s="278">
        <v>42628.388530000004</v>
      </c>
      <c r="AO192" s="337">
        <v>83106</v>
      </c>
      <c r="AP192" s="344">
        <v>8.36</v>
      </c>
      <c r="AQ192" s="460"/>
      <c r="AS192" s="469">
        <v>111789.91628</v>
      </c>
      <c r="AT192" s="278">
        <v>292508.64361999999</v>
      </c>
      <c r="AU192" s="461"/>
      <c r="AV192" s="278">
        <v>154748.10669999997</v>
      </c>
      <c r="AW192" s="278">
        <v>18852.855480000002</v>
      </c>
      <c r="AX192" s="278">
        <v>27101.569309999999</v>
      </c>
      <c r="AY192" s="278">
        <v>200702.53149000002</v>
      </c>
      <c r="AZ192" s="278">
        <v>24575.447</v>
      </c>
      <c r="BA192" s="278">
        <v>5694.6413499999999</v>
      </c>
      <c r="BB192" s="278">
        <v>8903.08302</v>
      </c>
      <c r="BC192" s="278">
        <v>2919.9280800000001</v>
      </c>
      <c r="BD192" s="278">
        <v>1296.3736100000001</v>
      </c>
      <c r="BE192" s="278">
        <v>46106.649189999996</v>
      </c>
      <c r="BG192" s="278">
        <v>31610.304789999998</v>
      </c>
      <c r="BH192" s="278">
        <v>0</v>
      </c>
      <c r="BI192" s="278">
        <v>0</v>
      </c>
      <c r="BJ192" s="278">
        <v>14496.3444</v>
      </c>
      <c r="BK192" s="278">
        <v>-33.333320000000001</v>
      </c>
      <c r="BL192" s="278">
        <v>0</v>
      </c>
      <c r="BM192" s="278">
        <v>-168.09923000000001</v>
      </c>
      <c r="BN192" s="278">
        <v>14697.776949999999</v>
      </c>
      <c r="BP192" s="278">
        <v>49631.981759999995</v>
      </c>
      <c r="BQ192" s="318">
        <v>36381.142950000001</v>
      </c>
      <c r="BR192" s="278">
        <v>-9725.5062300000009</v>
      </c>
      <c r="BS192" s="278">
        <v>-70401.632859999998</v>
      </c>
      <c r="BT192" s="278">
        <v>2777.65906</v>
      </c>
      <c r="BU192" s="278">
        <v>11786.372160000001</v>
      </c>
      <c r="BV192" s="278">
        <v>9138.0474600000016</v>
      </c>
      <c r="BX192" s="278">
        <v>328052.43044000003</v>
      </c>
      <c r="BY192" s="483">
        <v>2878.3793700000001</v>
      </c>
      <c r="BZ192" s="483">
        <v>-31518.969450000001</v>
      </c>
      <c r="CB192" s="347">
        <v>8.4</v>
      </c>
      <c r="CC192" s="486">
        <f t="shared" si="2"/>
        <v>8.4</v>
      </c>
      <c r="CD192" s="288"/>
      <c r="CE192" s="278"/>
      <c r="CF192" s="268"/>
      <c r="CG192" s="268"/>
      <c r="CH192" s="268"/>
      <c r="CI192" s="268">
        <v>0</v>
      </c>
      <c r="CJ192" s="343">
        <v>14014.20983824346</v>
      </c>
      <c r="CK192" s="343">
        <v>21641.707252347351</v>
      </c>
      <c r="CL192" s="343">
        <v>24322.950943615982</v>
      </c>
      <c r="CM192" s="487">
        <v>26097.286699059423</v>
      </c>
      <c r="CN192" s="487">
        <v>32519.855258352774</v>
      </c>
      <c r="CO192" s="495">
        <v>-4878.8249999999998</v>
      </c>
      <c r="CP192" s="299"/>
      <c r="CQ192" s="489">
        <v>3080.8917000000001</v>
      </c>
      <c r="CR192" s="489">
        <v>3132.2852400000002</v>
      </c>
    </row>
    <row r="193" spans="1:96" x14ac:dyDescent="0.2">
      <c r="A193" s="154">
        <v>611</v>
      </c>
      <c r="B193" s="156" t="s">
        <v>220</v>
      </c>
      <c r="C193" s="337">
        <v>5011</v>
      </c>
      <c r="D193" s="276">
        <v>20.5</v>
      </c>
      <c r="E193" s="185"/>
      <c r="G193" s="278">
        <v>3149.8785099999996</v>
      </c>
      <c r="H193" s="278">
        <v>31607.529149999998</v>
      </c>
      <c r="I193" s="278"/>
      <c r="J193" s="278">
        <v>20855.664530000002</v>
      </c>
      <c r="K193" s="278">
        <v>760.18889000000001</v>
      </c>
      <c r="L193" s="278">
        <v>1259.39517</v>
      </c>
      <c r="M193" s="278">
        <v>22875.248589999999</v>
      </c>
      <c r="N193" s="278">
        <v>6520.21</v>
      </c>
      <c r="O193" s="278">
        <v>1.6646700000000001</v>
      </c>
      <c r="P193" s="278">
        <v>59.272940000000006</v>
      </c>
      <c r="Q193" s="278">
        <v>73.891149999999996</v>
      </c>
      <c r="R193" s="278">
        <v>18.080459999999999</v>
      </c>
      <c r="S193" s="278">
        <v>936.01036999999997</v>
      </c>
      <c r="U193" s="278">
        <v>1664.9758400000001</v>
      </c>
      <c r="V193" s="278">
        <v>0</v>
      </c>
      <c r="W193" s="278">
        <v>277.20609999999999</v>
      </c>
      <c r="X193" s="278">
        <v>-1006.17157</v>
      </c>
      <c r="Y193" s="278">
        <v>0</v>
      </c>
      <c r="Z193" s="278">
        <v>0</v>
      </c>
      <c r="AA193" s="278">
        <v>0</v>
      </c>
      <c r="AB193" s="278">
        <v>-1006.17157</v>
      </c>
      <c r="AD193" s="278">
        <v>10736.435150000001</v>
      </c>
      <c r="AE193" s="157">
        <v>749.48461999999995</v>
      </c>
      <c r="AF193" s="184">
        <v>90.680350000000004</v>
      </c>
      <c r="AG193" s="278">
        <v>-1983.70271</v>
      </c>
      <c r="AH193" s="278">
        <v>60</v>
      </c>
      <c r="AI193" s="184">
        <v>119.83799999999999</v>
      </c>
      <c r="AJ193" s="278">
        <v>1191.93542</v>
      </c>
      <c r="AL193" s="278">
        <v>5827.2839999999997</v>
      </c>
      <c r="AM193" s="184">
        <v>0</v>
      </c>
      <c r="AN193" s="278">
        <v>-1024.5419999999999</v>
      </c>
      <c r="AO193" s="355">
        <v>4973</v>
      </c>
      <c r="AP193" s="344">
        <v>7.86</v>
      </c>
      <c r="AQ193" s="462"/>
      <c r="AS193" s="469">
        <v>3208.3521000000001</v>
      </c>
      <c r="AT193" s="278">
        <v>16790.137350000001</v>
      </c>
      <c r="AU193" s="464"/>
      <c r="AV193" s="346">
        <v>10148.447890000001</v>
      </c>
      <c r="AW193" s="346">
        <v>535.07206000000008</v>
      </c>
      <c r="AX193" s="346">
        <v>1293.4642200000001</v>
      </c>
      <c r="AY193" s="346">
        <v>11976.98417</v>
      </c>
      <c r="AZ193" s="346">
        <v>4571.875</v>
      </c>
      <c r="BA193" s="278">
        <v>0</v>
      </c>
      <c r="BB193" s="345">
        <v>135.02545999999998</v>
      </c>
      <c r="BC193" s="278">
        <v>18.58353</v>
      </c>
      <c r="BD193" s="278">
        <v>36.502760000000002</v>
      </c>
      <c r="BE193" s="346">
        <v>2814.12923</v>
      </c>
      <c r="BG193" s="343">
        <v>1839.1669999999999</v>
      </c>
      <c r="BH193" s="343">
        <v>0</v>
      </c>
      <c r="BI193" s="343">
        <v>48.304730000000006</v>
      </c>
      <c r="BJ193" s="346">
        <v>926.65750000000003</v>
      </c>
      <c r="BK193" s="343">
        <v>0</v>
      </c>
      <c r="BL193" s="343">
        <v>0</v>
      </c>
      <c r="BM193" s="343">
        <v>0</v>
      </c>
      <c r="BN193" s="346">
        <v>926.65750000000003</v>
      </c>
      <c r="BP193" s="346">
        <v>11663.092650000001</v>
      </c>
      <c r="BQ193" s="318">
        <v>2925.0600299999996</v>
      </c>
      <c r="BR193" s="278">
        <v>159.23553000000001</v>
      </c>
      <c r="BS193" s="475">
        <v>-1936.9463899999998</v>
      </c>
      <c r="BT193" s="278">
        <v>0</v>
      </c>
      <c r="BU193" s="278">
        <v>150</v>
      </c>
      <c r="BV193" s="345">
        <v>1058.4985300000001</v>
      </c>
      <c r="BX193" s="278">
        <v>5136.3739999999998</v>
      </c>
      <c r="BY193" s="483">
        <v>0</v>
      </c>
      <c r="BZ193" s="483">
        <v>-690.91</v>
      </c>
      <c r="CA193" s="260"/>
      <c r="CB193" s="347">
        <v>7.9</v>
      </c>
      <c r="CC193" s="486">
        <f t="shared" si="2"/>
        <v>7.9</v>
      </c>
      <c r="CD193" s="287"/>
      <c r="CE193" s="278"/>
      <c r="CF193" s="268"/>
      <c r="CI193" s="158">
        <v>0</v>
      </c>
      <c r="CJ193" s="343">
        <v>3680.0040162824562</v>
      </c>
      <c r="CK193" s="343">
        <v>3509.0798145585368</v>
      </c>
      <c r="CL193" s="343">
        <v>3351.9975072971529</v>
      </c>
      <c r="CM193" s="487">
        <v>3279.272180579359</v>
      </c>
      <c r="CN193" s="487">
        <v>3473.3924429254948</v>
      </c>
      <c r="CO193" s="495">
        <v>-1346.4949999999999</v>
      </c>
      <c r="CP193" s="299"/>
      <c r="CQ193" s="489">
        <v>0</v>
      </c>
      <c r="CR193" s="489">
        <v>0</v>
      </c>
    </row>
    <row r="194" spans="1:96" x14ac:dyDescent="0.2">
      <c r="A194" s="154">
        <v>638</v>
      </c>
      <c r="B194" s="156" t="s">
        <v>221</v>
      </c>
      <c r="C194" s="337">
        <v>51232</v>
      </c>
      <c r="D194" s="276">
        <v>19.75</v>
      </c>
      <c r="E194" s="185"/>
      <c r="G194" s="278">
        <v>82341.28426</v>
      </c>
      <c r="H194" s="278">
        <v>392310.49605999998</v>
      </c>
      <c r="I194" s="278"/>
      <c r="J194" s="278">
        <v>223930.88068</v>
      </c>
      <c r="K194" s="278">
        <v>74349.64516</v>
      </c>
      <c r="L194" s="278">
        <v>18200.694649999998</v>
      </c>
      <c r="M194" s="278">
        <v>316481.22049000004</v>
      </c>
      <c r="N194" s="278">
        <v>66951.865000000005</v>
      </c>
      <c r="O194" s="278">
        <v>26.8474</v>
      </c>
      <c r="P194" s="278">
        <v>339.68634000000003</v>
      </c>
      <c r="Q194" s="278">
        <v>3879.6797799999999</v>
      </c>
      <c r="R194" s="278">
        <v>264.62496000000004</v>
      </c>
      <c r="S194" s="278">
        <v>78225.350640000004</v>
      </c>
      <c r="U194" s="278">
        <v>34777.316350000001</v>
      </c>
      <c r="V194" s="278">
        <v>0</v>
      </c>
      <c r="W194" s="278">
        <v>0</v>
      </c>
      <c r="X194" s="278">
        <v>43448.034289999996</v>
      </c>
      <c r="Y194" s="278">
        <v>-1670.3217400000001</v>
      </c>
      <c r="Z194" s="278">
        <v>4490</v>
      </c>
      <c r="AA194" s="278">
        <v>14216.41167</v>
      </c>
      <c r="AB194" s="278">
        <v>26411.944359999998</v>
      </c>
      <c r="AD194" s="278">
        <v>124827.37909</v>
      </c>
      <c r="AE194" s="157">
        <v>73929.841079999998</v>
      </c>
      <c r="AF194" s="184">
        <v>-4295.5095599999995</v>
      </c>
      <c r="AG194" s="278">
        <v>-28325.292309999997</v>
      </c>
      <c r="AH194" s="278">
        <v>563.62972000000002</v>
      </c>
      <c r="AI194" s="184">
        <v>9290.8330800000003</v>
      </c>
      <c r="AJ194" s="278">
        <v>95658.592609999992</v>
      </c>
      <c r="AL194" s="278">
        <v>86930.961779999998</v>
      </c>
      <c r="AM194" s="184">
        <v>204.18849</v>
      </c>
      <c r="AN194" s="278">
        <v>-53393.358260000001</v>
      </c>
      <c r="AO194" s="355">
        <v>51289</v>
      </c>
      <c r="AP194" s="344">
        <v>7.1100000000000012</v>
      </c>
      <c r="AQ194" s="462"/>
      <c r="AS194" s="469">
        <v>47999.515299999999</v>
      </c>
      <c r="AT194" s="278">
        <v>204375.02807</v>
      </c>
      <c r="AU194" s="464"/>
      <c r="AV194" s="346">
        <v>101297.85295</v>
      </c>
      <c r="AW194" s="346">
        <v>32268.83397</v>
      </c>
      <c r="AX194" s="346">
        <v>19030.689109999999</v>
      </c>
      <c r="AY194" s="346">
        <v>152597.37603000001</v>
      </c>
      <c r="AZ194" s="346">
        <v>47344.762999999999</v>
      </c>
      <c r="BA194" s="278">
        <v>352.10703999999998</v>
      </c>
      <c r="BB194" s="345">
        <v>259.95825000000002</v>
      </c>
      <c r="BC194" s="278">
        <v>3532.7582499999999</v>
      </c>
      <c r="BD194" s="278">
        <v>99.87321</v>
      </c>
      <c r="BE194" s="346">
        <v>48499.973170000005</v>
      </c>
      <c r="BG194" s="343">
        <v>27169.187550000002</v>
      </c>
      <c r="BH194" s="346">
        <v>0</v>
      </c>
      <c r="BI194" s="346">
        <v>0</v>
      </c>
      <c r="BJ194" s="346">
        <v>21330.785620000002</v>
      </c>
      <c r="BK194" s="343">
        <v>-422.40883000000002</v>
      </c>
      <c r="BL194" s="346">
        <v>0</v>
      </c>
      <c r="BM194" s="346">
        <v>2170.53613</v>
      </c>
      <c r="BN194" s="346">
        <v>19582.658319999999</v>
      </c>
      <c r="BP194" s="346">
        <v>146279.69889999999</v>
      </c>
      <c r="BQ194" s="318">
        <v>52124.549610000002</v>
      </c>
      <c r="BR194" s="278">
        <v>3624.5764399999998</v>
      </c>
      <c r="BS194" s="475">
        <v>-47504.865949999999</v>
      </c>
      <c r="BT194" s="278">
        <v>0</v>
      </c>
      <c r="BU194" s="278">
        <v>3233.3145499999996</v>
      </c>
      <c r="BV194" s="345">
        <v>80593.952550000002</v>
      </c>
      <c r="BX194" s="278">
        <v>74597.607810000001</v>
      </c>
      <c r="BY194" s="483">
        <v>-393.23876000000001</v>
      </c>
      <c r="BZ194" s="483">
        <v>-12333.35397</v>
      </c>
      <c r="CA194" s="260"/>
      <c r="CB194" s="347">
        <v>7.1</v>
      </c>
      <c r="CC194" s="486">
        <f t="shared" si="2"/>
        <v>7.1</v>
      </c>
      <c r="CD194" s="287"/>
      <c r="CE194" s="278"/>
      <c r="CF194" s="268"/>
      <c r="CI194" s="158">
        <v>0</v>
      </c>
      <c r="CJ194" s="343">
        <v>46458.440354232305</v>
      </c>
      <c r="CK194" s="343">
        <v>50169.847303066381</v>
      </c>
      <c r="CL194" s="343">
        <v>49098.710599516075</v>
      </c>
      <c r="CM194" s="487">
        <v>49015.944295268149</v>
      </c>
      <c r="CN194" s="487">
        <v>51118.186277603767</v>
      </c>
      <c r="CO194" s="495">
        <v>-1368.123</v>
      </c>
      <c r="CP194" s="299"/>
      <c r="CQ194" s="489">
        <v>1459.26107</v>
      </c>
      <c r="CR194" s="489">
        <v>1408.3130800000001</v>
      </c>
    </row>
    <row r="195" spans="1:96" x14ac:dyDescent="0.2">
      <c r="A195" s="154">
        <v>614</v>
      </c>
      <c r="B195" s="156" t="s">
        <v>222</v>
      </c>
      <c r="C195" s="337">
        <v>2999</v>
      </c>
      <c r="D195" s="276">
        <v>21.75</v>
      </c>
      <c r="E195" s="185"/>
      <c r="G195" s="278">
        <v>6824.0158600000004</v>
      </c>
      <c r="H195" s="278">
        <v>35633.230939999994</v>
      </c>
      <c r="I195" s="278"/>
      <c r="J195" s="278">
        <v>8454.5837699999993</v>
      </c>
      <c r="K195" s="278">
        <v>1157.78513</v>
      </c>
      <c r="L195" s="278">
        <v>1373.4795200000001</v>
      </c>
      <c r="M195" s="278">
        <v>10985.84842</v>
      </c>
      <c r="N195" s="278">
        <v>18579.076000000001</v>
      </c>
      <c r="O195" s="278">
        <v>6.3601899999999993</v>
      </c>
      <c r="P195" s="278">
        <v>112.59922999999999</v>
      </c>
      <c r="Q195" s="278">
        <v>696.27923999999996</v>
      </c>
      <c r="R195" s="278">
        <v>388.65722</v>
      </c>
      <c r="S195" s="278">
        <v>957.09231999999997</v>
      </c>
      <c r="U195" s="278">
        <v>1275.08437</v>
      </c>
      <c r="V195" s="278">
        <v>0</v>
      </c>
      <c r="W195" s="278">
        <v>16</v>
      </c>
      <c r="X195" s="278">
        <v>-333.99205000000001</v>
      </c>
      <c r="Y195" s="278">
        <v>0</v>
      </c>
      <c r="Z195" s="278">
        <v>0</v>
      </c>
      <c r="AA195" s="278">
        <v>-131.35112000000001</v>
      </c>
      <c r="AB195" s="278">
        <v>-202.64093</v>
      </c>
      <c r="AD195" s="278">
        <v>6071.1630400000004</v>
      </c>
      <c r="AE195" s="157">
        <v>871.20477000000005</v>
      </c>
      <c r="AF195" s="184">
        <v>-69.937550000000002</v>
      </c>
      <c r="AG195" s="278">
        <v>-1116.4591</v>
      </c>
      <c r="AH195" s="278">
        <v>46.4</v>
      </c>
      <c r="AI195" s="184">
        <v>64.5</v>
      </c>
      <c r="AJ195" s="278">
        <v>6983.7347399999999</v>
      </c>
      <c r="AL195" s="278">
        <v>9814.8781099999997</v>
      </c>
      <c r="AM195" s="184">
        <v>0</v>
      </c>
      <c r="AN195" s="278">
        <v>229.49982999999997</v>
      </c>
      <c r="AO195" s="355">
        <v>2923</v>
      </c>
      <c r="AP195" s="344">
        <v>9.11</v>
      </c>
      <c r="AQ195" s="462"/>
      <c r="AS195" s="469">
        <v>3760.08572</v>
      </c>
      <c r="AT195" s="278">
        <v>12696.65832</v>
      </c>
      <c r="AU195" s="464"/>
      <c r="AV195" s="346">
        <v>4532.2528300000004</v>
      </c>
      <c r="AW195" s="346">
        <v>735.30291</v>
      </c>
      <c r="AX195" s="346">
        <v>1543.0573200000001</v>
      </c>
      <c r="AY195" s="346">
        <v>6810.6130599999997</v>
      </c>
      <c r="AZ195" s="346">
        <v>3627.7049999999999</v>
      </c>
      <c r="BA195" s="278">
        <v>54.613879999999995</v>
      </c>
      <c r="BB195" s="345">
        <v>284.80865999999997</v>
      </c>
      <c r="BC195" s="278">
        <v>211.5592</v>
      </c>
      <c r="BD195" s="278">
        <v>533.22036000000003</v>
      </c>
      <c r="BE195" s="346">
        <v>949.88952000000006</v>
      </c>
      <c r="BG195" s="343">
        <v>1288.3881200000001</v>
      </c>
      <c r="BH195" s="343">
        <v>205.41601</v>
      </c>
      <c r="BI195" s="343">
        <v>0</v>
      </c>
      <c r="BJ195" s="346">
        <v>-133.08259000000001</v>
      </c>
      <c r="BK195" s="343">
        <v>-131.25003000000001</v>
      </c>
      <c r="BL195" s="343">
        <v>0</v>
      </c>
      <c r="BM195" s="343">
        <v>0</v>
      </c>
      <c r="BN195" s="346">
        <v>-1.83256</v>
      </c>
      <c r="BP195" s="346">
        <v>6069.3304400000006</v>
      </c>
      <c r="BQ195" s="318">
        <v>1274.4033999999999</v>
      </c>
      <c r="BR195" s="278">
        <v>-52.64479</v>
      </c>
      <c r="BS195" s="475">
        <v>-1022.4267199999999</v>
      </c>
      <c r="BT195" s="278">
        <v>47.5</v>
      </c>
      <c r="BU195" s="278">
        <v>60</v>
      </c>
      <c r="BV195" s="345">
        <v>6107.9642300000005</v>
      </c>
      <c r="BX195" s="278">
        <v>9093.3165399999998</v>
      </c>
      <c r="BY195" s="483">
        <v>8.3000000000000007</v>
      </c>
      <c r="BZ195" s="483">
        <v>-721.56156999999996</v>
      </c>
      <c r="CA195" s="260"/>
      <c r="CB195" s="347">
        <v>9.1</v>
      </c>
      <c r="CC195" s="486">
        <f t="shared" si="2"/>
        <v>9.1</v>
      </c>
      <c r="CD195" s="287"/>
      <c r="CE195" s="278"/>
      <c r="CF195" s="268"/>
      <c r="CI195" s="158">
        <v>0</v>
      </c>
      <c r="CJ195" s="343">
        <v>3233.9590860525377</v>
      </c>
      <c r="CK195" s="343">
        <v>3474.5002224740483</v>
      </c>
      <c r="CL195" s="343">
        <v>3845.2909257245415</v>
      </c>
      <c r="CM195" s="487">
        <v>3998.2868062271318</v>
      </c>
      <c r="CN195" s="487">
        <v>4538.8706598147028</v>
      </c>
      <c r="CO195" s="495">
        <v>92.683999999999997</v>
      </c>
      <c r="CP195" s="299"/>
      <c r="CQ195" s="489">
        <v>0</v>
      </c>
      <c r="CR195" s="489">
        <v>0</v>
      </c>
    </row>
    <row r="196" spans="1:96" x14ac:dyDescent="0.2">
      <c r="A196" s="154">
        <v>615</v>
      </c>
      <c r="B196" s="156" t="s">
        <v>223</v>
      </c>
      <c r="C196" s="337">
        <v>7603</v>
      </c>
      <c r="D196" s="276">
        <v>21</v>
      </c>
      <c r="E196" s="185"/>
      <c r="G196" s="278">
        <v>10220.99158</v>
      </c>
      <c r="H196" s="278">
        <v>73100.110849999997</v>
      </c>
      <c r="I196" s="278"/>
      <c r="J196" s="278">
        <v>20255.003250000002</v>
      </c>
      <c r="K196" s="278">
        <v>4322.5108600000003</v>
      </c>
      <c r="L196" s="278">
        <v>2671.5457099999999</v>
      </c>
      <c r="M196" s="278">
        <v>27249.059819999999</v>
      </c>
      <c r="N196" s="278">
        <v>39996.338000000003</v>
      </c>
      <c r="O196" s="278">
        <v>26.091419999999999</v>
      </c>
      <c r="P196" s="278">
        <v>200.42010999999999</v>
      </c>
      <c r="Q196" s="278">
        <v>755.74576000000002</v>
      </c>
      <c r="R196" s="278">
        <v>639.19618999999989</v>
      </c>
      <c r="S196" s="278">
        <v>4308.4994299999998</v>
      </c>
      <c r="U196" s="278">
        <v>4768.0310799999997</v>
      </c>
      <c r="V196" s="278">
        <v>0</v>
      </c>
      <c r="W196" s="278">
        <v>0</v>
      </c>
      <c r="X196" s="278">
        <v>-459.53165000000001</v>
      </c>
      <c r="Y196" s="278">
        <v>-103.26348</v>
      </c>
      <c r="Z196" s="278">
        <v>0</v>
      </c>
      <c r="AA196" s="278">
        <v>-284.53671000000003</v>
      </c>
      <c r="AB196" s="278">
        <v>-71.731460000000013</v>
      </c>
      <c r="AD196" s="278">
        <v>2712.2055300000002</v>
      </c>
      <c r="AE196" s="157">
        <v>4164.9876000000004</v>
      </c>
      <c r="AF196" s="184">
        <v>-143.51182999999997</v>
      </c>
      <c r="AG196" s="278">
        <v>-2249.91318</v>
      </c>
      <c r="AH196" s="278">
        <v>39.772150000000003</v>
      </c>
      <c r="AI196" s="184">
        <v>162.57581999999999</v>
      </c>
      <c r="AJ196" s="278">
        <v>13445.55495</v>
      </c>
      <c r="AL196" s="278">
        <v>34065.082719999999</v>
      </c>
      <c r="AM196" s="184">
        <v>0</v>
      </c>
      <c r="AN196" s="278">
        <v>-2006.64114</v>
      </c>
      <c r="AO196" s="355">
        <v>7479</v>
      </c>
      <c r="AP196" s="344">
        <v>8.36</v>
      </c>
      <c r="AQ196" s="462"/>
      <c r="AS196" s="469">
        <v>8481.1423000000013</v>
      </c>
      <c r="AT196" s="278">
        <v>38428.430249999998</v>
      </c>
      <c r="AU196" s="464"/>
      <c r="AV196" s="346">
        <v>9793.7056599999996</v>
      </c>
      <c r="AW196" s="346">
        <v>2630.5071000000003</v>
      </c>
      <c r="AX196" s="346">
        <v>2767.4114300000001</v>
      </c>
      <c r="AY196" s="346">
        <v>15191.624189999999</v>
      </c>
      <c r="AZ196" s="346">
        <v>15240.769</v>
      </c>
      <c r="BA196" s="278">
        <v>32.44764</v>
      </c>
      <c r="BB196" s="345">
        <v>590.91435999999999</v>
      </c>
      <c r="BC196" s="278">
        <v>1124.1875600000001</v>
      </c>
      <c r="BD196" s="278">
        <v>493.91576000000003</v>
      </c>
      <c r="BE196" s="346">
        <v>556.91031999999996</v>
      </c>
      <c r="BG196" s="343">
        <v>4853.0545700000002</v>
      </c>
      <c r="BH196" s="343">
        <v>0</v>
      </c>
      <c r="BI196" s="343">
        <v>0</v>
      </c>
      <c r="BJ196" s="346">
        <v>-4296.1442500000003</v>
      </c>
      <c r="BK196" s="346">
        <v>-103.26348</v>
      </c>
      <c r="BL196" s="346">
        <v>0</v>
      </c>
      <c r="BM196" s="343">
        <v>-530.62483999999995</v>
      </c>
      <c r="BN196" s="346">
        <v>-3662.2559300000003</v>
      </c>
      <c r="BP196" s="346">
        <v>-950.05040000000054</v>
      </c>
      <c r="BQ196" s="318">
        <v>511.73806000000002</v>
      </c>
      <c r="BR196" s="278">
        <v>-45.172260000000001</v>
      </c>
      <c r="BS196" s="475">
        <v>-2663.6234100000001</v>
      </c>
      <c r="BT196" s="278">
        <v>174.13348999999999</v>
      </c>
      <c r="BU196" s="278">
        <v>2213.2375000000002</v>
      </c>
      <c r="BV196" s="345">
        <v>13814.69866</v>
      </c>
      <c r="BX196" s="278">
        <v>34432.16704</v>
      </c>
      <c r="BY196" s="483">
        <v>0</v>
      </c>
      <c r="BZ196" s="483">
        <v>367.08431999999999</v>
      </c>
      <c r="CA196" s="260"/>
      <c r="CB196" s="347">
        <v>9</v>
      </c>
      <c r="CC196" s="486">
        <f t="shared" ref="CC196:CC259" si="3">CB196</f>
        <v>9</v>
      </c>
      <c r="CD196" s="287"/>
      <c r="CE196" s="278"/>
      <c r="CF196" s="268"/>
      <c r="CI196" s="158">
        <v>1200</v>
      </c>
      <c r="CJ196" s="343">
        <v>15414.597571646635</v>
      </c>
      <c r="CK196" s="343">
        <v>16564.110532366387</v>
      </c>
      <c r="CL196" s="343">
        <v>16614.861766606817</v>
      </c>
      <c r="CM196" s="487">
        <v>16790.896098676916</v>
      </c>
      <c r="CN196" s="487">
        <v>17862.111594936716</v>
      </c>
      <c r="CO196" s="495">
        <v>164.91399999999999</v>
      </c>
      <c r="CP196" s="299"/>
      <c r="CQ196" s="489">
        <v>0</v>
      </c>
      <c r="CR196" s="489">
        <v>0</v>
      </c>
    </row>
    <row r="197" spans="1:96" x14ac:dyDescent="0.2">
      <c r="A197" s="154">
        <v>616</v>
      </c>
      <c r="B197" s="156" t="s">
        <v>224</v>
      </c>
      <c r="C197" s="337">
        <v>1807</v>
      </c>
      <c r="D197" s="276">
        <v>21.5</v>
      </c>
      <c r="E197" s="185"/>
      <c r="G197" s="278">
        <v>1378.6025</v>
      </c>
      <c r="H197" s="278">
        <v>13486.072099999999</v>
      </c>
      <c r="I197" s="278"/>
      <c r="J197" s="278">
        <v>6764.7012999999997</v>
      </c>
      <c r="K197" s="278">
        <v>422.36990000000003</v>
      </c>
      <c r="L197" s="278">
        <v>469.25165999999996</v>
      </c>
      <c r="M197" s="278">
        <v>7656.3228600000002</v>
      </c>
      <c r="N197" s="278">
        <v>4142.8189199999997</v>
      </c>
      <c r="O197" s="278">
        <v>32.905589999999997</v>
      </c>
      <c r="P197" s="278">
        <v>46.670639999999999</v>
      </c>
      <c r="Q197" s="278">
        <v>84.732369999999989</v>
      </c>
      <c r="R197" s="278">
        <v>0.44811000000000001</v>
      </c>
      <c r="S197" s="278">
        <v>-237.80860999999999</v>
      </c>
      <c r="U197" s="278">
        <v>386.07537000000002</v>
      </c>
      <c r="V197" s="278">
        <v>0</v>
      </c>
      <c r="W197" s="278">
        <v>0</v>
      </c>
      <c r="X197" s="278">
        <v>-623.88397999999995</v>
      </c>
      <c r="Y197" s="278">
        <v>0</v>
      </c>
      <c r="Z197" s="278">
        <v>0</v>
      </c>
      <c r="AA197" s="278">
        <v>0</v>
      </c>
      <c r="AB197" s="278">
        <v>-623.88397999999995</v>
      </c>
      <c r="AD197" s="278">
        <v>507.91979000000003</v>
      </c>
      <c r="AE197" s="157">
        <v>-247.27001000000001</v>
      </c>
      <c r="AF197" s="184">
        <v>-9.4613999999999994</v>
      </c>
      <c r="AG197" s="278">
        <v>-132.41410000000002</v>
      </c>
      <c r="AH197" s="278">
        <v>0</v>
      </c>
      <c r="AI197" s="184">
        <v>14.64199</v>
      </c>
      <c r="AJ197" s="278">
        <v>527.82895999999994</v>
      </c>
      <c r="AL197" s="278">
        <v>5450.7258900000006</v>
      </c>
      <c r="AM197" s="184">
        <v>-37.5</v>
      </c>
      <c r="AN197" s="278">
        <v>-594.34179000000006</v>
      </c>
      <c r="AO197" s="355">
        <v>1781</v>
      </c>
      <c r="AP197" s="344">
        <v>8.8600000000000012</v>
      </c>
      <c r="AQ197" s="462"/>
      <c r="AS197" s="469">
        <v>1451.12843</v>
      </c>
      <c r="AT197" s="278">
        <v>6651.11067</v>
      </c>
      <c r="AU197" s="464"/>
      <c r="AV197" s="346">
        <v>3367.2418199999997</v>
      </c>
      <c r="AW197" s="346">
        <v>251.50667999999999</v>
      </c>
      <c r="AX197" s="346">
        <v>476.95471999999995</v>
      </c>
      <c r="AY197" s="346">
        <v>4095.7032200000003</v>
      </c>
      <c r="AZ197" s="346">
        <v>1291.769</v>
      </c>
      <c r="BA197" s="278">
        <v>85.93077000000001</v>
      </c>
      <c r="BB197" s="345">
        <v>122.38081</v>
      </c>
      <c r="BC197" s="278">
        <v>68.046509999999998</v>
      </c>
      <c r="BD197" s="278">
        <v>0.84992000000000001</v>
      </c>
      <c r="BE197" s="346">
        <v>218.23652999999999</v>
      </c>
      <c r="BG197" s="343">
        <v>382.64390000000003</v>
      </c>
      <c r="BH197" s="346">
        <v>0</v>
      </c>
      <c r="BI197" s="346">
        <v>0</v>
      </c>
      <c r="BJ197" s="346">
        <v>-164.40736999999999</v>
      </c>
      <c r="BK197" s="346">
        <v>0</v>
      </c>
      <c r="BL197" s="343">
        <v>0</v>
      </c>
      <c r="BM197" s="346">
        <v>0</v>
      </c>
      <c r="BN197" s="346">
        <v>-164.40736999999999</v>
      </c>
      <c r="BP197" s="346">
        <v>343.51242000000002</v>
      </c>
      <c r="BQ197" s="318">
        <v>193.77046999999999</v>
      </c>
      <c r="BR197" s="278">
        <v>-24.466060000000002</v>
      </c>
      <c r="BS197" s="475">
        <v>-189.28303</v>
      </c>
      <c r="BT197" s="278">
        <v>0</v>
      </c>
      <c r="BU197" s="278">
        <v>28.948810000000002</v>
      </c>
      <c r="BV197" s="345">
        <v>602.47258999999997</v>
      </c>
      <c r="BX197" s="278">
        <v>5860.00252</v>
      </c>
      <c r="BY197" s="483">
        <v>-37.5</v>
      </c>
      <c r="BZ197" s="483">
        <v>409.27663000000001</v>
      </c>
      <c r="CA197" s="260"/>
      <c r="CB197" s="347">
        <v>8.9</v>
      </c>
      <c r="CC197" s="486">
        <f t="shared" si="3"/>
        <v>8.9</v>
      </c>
      <c r="CD197" s="287"/>
      <c r="CE197" s="278"/>
      <c r="CF197" s="268"/>
      <c r="CI197" s="158">
        <v>0</v>
      </c>
      <c r="CJ197" s="343">
        <v>574.32273366851416</v>
      </c>
      <c r="CK197" s="343">
        <v>674.70329736240399</v>
      </c>
      <c r="CL197" s="343">
        <v>773.29345062577784</v>
      </c>
      <c r="CM197" s="487">
        <v>856.08607184382288</v>
      </c>
      <c r="CN197" s="487">
        <v>997.36840656707352</v>
      </c>
      <c r="CO197" s="495">
        <v>-495.44799999999998</v>
      </c>
      <c r="CP197" s="299"/>
      <c r="CQ197" s="489">
        <v>0</v>
      </c>
      <c r="CR197" s="489">
        <v>0</v>
      </c>
    </row>
    <row r="198" spans="1:96" x14ac:dyDescent="0.2">
      <c r="A198" s="154">
        <v>619</v>
      </c>
      <c r="B198" s="156" t="s">
        <v>225</v>
      </c>
      <c r="C198" s="337">
        <v>2675</v>
      </c>
      <c r="D198" s="276">
        <v>22</v>
      </c>
      <c r="E198" s="185"/>
      <c r="G198" s="278">
        <v>2075.3544299999999</v>
      </c>
      <c r="H198" s="278">
        <v>21455.294160000001</v>
      </c>
      <c r="I198" s="278"/>
      <c r="J198" s="278">
        <v>7676.64149</v>
      </c>
      <c r="K198" s="278">
        <v>882.37398999999994</v>
      </c>
      <c r="L198" s="278">
        <v>726.05197999999996</v>
      </c>
      <c r="M198" s="278">
        <v>9285.0674600000002</v>
      </c>
      <c r="N198" s="278">
        <v>12010.061</v>
      </c>
      <c r="O198" s="278">
        <v>11.68107</v>
      </c>
      <c r="P198" s="278">
        <v>47.378430000000002</v>
      </c>
      <c r="Q198" s="278">
        <v>21.23724</v>
      </c>
      <c r="R198" s="278">
        <v>0.34814999999999996</v>
      </c>
      <c r="S198" s="278">
        <v>1900.3804599999999</v>
      </c>
      <c r="U198" s="278">
        <v>1068.28998</v>
      </c>
      <c r="V198" s="278">
        <v>0</v>
      </c>
      <c r="W198" s="278">
        <v>0</v>
      </c>
      <c r="X198" s="278">
        <v>832.09047999999996</v>
      </c>
      <c r="Y198" s="278">
        <v>-38.05556</v>
      </c>
      <c r="Z198" s="278">
        <v>0</v>
      </c>
      <c r="AA198" s="278">
        <v>0</v>
      </c>
      <c r="AB198" s="278">
        <v>870.14604000000008</v>
      </c>
      <c r="AD198" s="278">
        <v>4958.0382699999991</v>
      </c>
      <c r="AE198" s="157">
        <v>1900.3804599999999</v>
      </c>
      <c r="AF198" s="184">
        <v>0</v>
      </c>
      <c r="AG198" s="278">
        <v>-1828.34872</v>
      </c>
      <c r="AH198" s="278">
        <v>0</v>
      </c>
      <c r="AI198" s="184">
        <v>14</v>
      </c>
      <c r="AJ198" s="278">
        <v>2930.5878699999998</v>
      </c>
      <c r="AL198" s="278">
        <v>6865</v>
      </c>
      <c r="AM198" s="184">
        <v>0</v>
      </c>
      <c r="AN198" s="278">
        <v>400</v>
      </c>
      <c r="AO198" s="355">
        <v>2650</v>
      </c>
      <c r="AP198" s="344">
        <v>9.36</v>
      </c>
      <c r="AQ198" s="462"/>
      <c r="AS198" s="469">
        <v>1977.0513000000001</v>
      </c>
      <c r="AT198" s="278">
        <v>9153.5511999999999</v>
      </c>
      <c r="AU198" s="464"/>
      <c r="AV198" s="346">
        <v>4509.1068499999992</v>
      </c>
      <c r="AW198" s="346">
        <v>576.05946999999992</v>
      </c>
      <c r="AX198" s="346">
        <v>669.25923999999998</v>
      </c>
      <c r="AY198" s="346">
        <v>5754.4255599999997</v>
      </c>
      <c r="AZ198" s="346">
        <v>3594.56</v>
      </c>
      <c r="BA198" s="278">
        <v>78.739820000000009</v>
      </c>
      <c r="BB198" s="345">
        <v>154.74206000000001</v>
      </c>
      <c r="BC198" s="278">
        <v>6.5657700000000006</v>
      </c>
      <c r="BD198" s="278">
        <v>0.6147999999999999</v>
      </c>
      <c r="BE198" s="346">
        <v>2102.4343900000003</v>
      </c>
      <c r="BG198" s="343">
        <v>1196.2765099999999</v>
      </c>
      <c r="BH198" s="343">
        <v>0</v>
      </c>
      <c r="BI198" s="343">
        <v>0</v>
      </c>
      <c r="BJ198" s="346">
        <v>906.15787999999998</v>
      </c>
      <c r="BK198" s="346">
        <v>-35.748150000000003</v>
      </c>
      <c r="BL198" s="346">
        <v>0</v>
      </c>
      <c r="BM198" s="343">
        <v>0</v>
      </c>
      <c r="BN198" s="346">
        <v>941.90602999999999</v>
      </c>
      <c r="BP198" s="346">
        <v>5899.9442999999992</v>
      </c>
      <c r="BQ198" s="318">
        <v>2102.4343900000003</v>
      </c>
      <c r="BR198" s="278">
        <v>0</v>
      </c>
      <c r="BS198" s="475">
        <v>-720.66526999999996</v>
      </c>
      <c r="BT198" s="278">
        <v>0</v>
      </c>
      <c r="BU198" s="278">
        <v>70</v>
      </c>
      <c r="BV198" s="345">
        <v>3177.0327699999998</v>
      </c>
      <c r="BX198" s="278">
        <v>6465</v>
      </c>
      <c r="BY198" s="483">
        <v>0</v>
      </c>
      <c r="BZ198" s="483">
        <v>-400</v>
      </c>
      <c r="CA198" s="260"/>
      <c r="CB198" s="347">
        <v>9</v>
      </c>
      <c r="CC198" s="486">
        <f t="shared" si="3"/>
        <v>9</v>
      </c>
      <c r="CD198" s="287"/>
      <c r="CE198" s="278"/>
      <c r="CF198" s="268"/>
      <c r="CI198" s="158">
        <v>0</v>
      </c>
      <c r="CJ198" s="343">
        <v>3416.1218714898805</v>
      </c>
      <c r="CK198" s="343">
        <v>3584.3603950007573</v>
      </c>
      <c r="CL198" s="343">
        <v>3807.9156912558951</v>
      </c>
      <c r="CM198" s="487">
        <v>3807.1176990484423</v>
      </c>
      <c r="CN198" s="487">
        <v>4216.9576166830302</v>
      </c>
      <c r="CO198" s="495">
        <v>71.171000000000006</v>
      </c>
      <c r="CP198" s="299"/>
      <c r="CQ198" s="489">
        <v>0</v>
      </c>
      <c r="CR198" s="489">
        <v>0</v>
      </c>
    </row>
    <row r="199" spans="1:96" x14ac:dyDescent="0.2">
      <c r="A199" s="154">
        <v>620</v>
      </c>
      <c r="B199" s="156" t="s">
        <v>226</v>
      </c>
      <c r="C199" s="337">
        <v>2380</v>
      </c>
      <c r="D199" s="276">
        <v>21.5</v>
      </c>
      <c r="E199" s="185"/>
      <c r="G199" s="278">
        <v>5425.71605</v>
      </c>
      <c r="H199" s="278">
        <v>28370.72709</v>
      </c>
      <c r="I199" s="278"/>
      <c r="J199" s="278">
        <v>6821.0736200000001</v>
      </c>
      <c r="K199" s="278">
        <v>2049.9756600000001</v>
      </c>
      <c r="L199" s="278">
        <v>846.78859999999997</v>
      </c>
      <c r="M199" s="278">
        <v>9717.837880000001</v>
      </c>
      <c r="N199" s="278">
        <v>15380.784</v>
      </c>
      <c r="O199" s="278">
        <v>0</v>
      </c>
      <c r="P199" s="278">
        <v>69.433549999999997</v>
      </c>
      <c r="Q199" s="278">
        <v>16.440369999999998</v>
      </c>
      <c r="R199" s="278">
        <v>20.123900000000003</v>
      </c>
      <c r="S199" s="278">
        <v>2107.5058599999998</v>
      </c>
      <c r="U199" s="278">
        <v>949.88933999999995</v>
      </c>
      <c r="V199" s="278">
        <v>0</v>
      </c>
      <c r="W199" s="278">
        <v>0</v>
      </c>
      <c r="X199" s="278">
        <v>1157.61652</v>
      </c>
      <c r="Y199" s="278">
        <v>-72.022800000000004</v>
      </c>
      <c r="Z199" s="278">
        <v>0</v>
      </c>
      <c r="AA199" s="278">
        <v>0</v>
      </c>
      <c r="AB199" s="278">
        <v>1229.63932</v>
      </c>
      <c r="AD199" s="278">
        <v>5660.9668500000007</v>
      </c>
      <c r="AE199" s="157">
        <v>2063.2616600000001</v>
      </c>
      <c r="AF199" s="184">
        <v>-44.244199999999999</v>
      </c>
      <c r="AG199" s="278">
        <v>-3556.1299399999998</v>
      </c>
      <c r="AH199" s="278">
        <v>554.99937999999997</v>
      </c>
      <c r="AI199" s="184">
        <v>30</v>
      </c>
      <c r="AJ199" s="278">
        <v>3834.7906200000002</v>
      </c>
      <c r="AL199" s="278">
        <v>5862.7777500000011</v>
      </c>
      <c r="AM199" s="184">
        <v>0</v>
      </c>
      <c r="AN199" s="278">
        <v>793.70369999999991</v>
      </c>
      <c r="AO199" s="355">
        <v>2359</v>
      </c>
      <c r="AP199" s="344">
        <v>8.86</v>
      </c>
      <c r="AQ199" s="462"/>
      <c r="AS199" s="469">
        <v>3642.4292599999999</v>
      </c>
      <c r="AT199" s="278">
        <v>11725.338380000001</v>
      </c>
      <c r="AU199" s="464"/>
      <c r="AV199" s="346">
        <v>3146.0538900000001</v>
      </c>
      <c r="AW199" s="346">
        <v>1161.7306599999999</v>
      </c>
      <c r="AX199" s="346">
        <v>815.54514000000006</v>
      </c>
      <c r="AY199" s="346">
        <v>5123.3296900000005</v>
      </c>
      <c r="AZ199" s="346">
        <v>4000.922</v>
      </c>
      <c r="BA199" s="278">
        <v>0</v>
      </c>
      <c r="BB199" s="345">
        <v>65.032300000000006</v>
      </c>
      <c r="BC199" s="278">
        <v>7.0406199999999997</v>
      </c>
      <c r="BD199" s="278">
        <v>9.9797399999999996</v>
      </c>
      <c r="BE199" s="346">
        <v>973.37115000000006</v>
      </c>
      <c r="BG199" s="343">
        <v>971.64847999999995</v>
      </c>
      <c r="BH199" s="343">
        <v>0</v>
      </c>
      <c r="BI199" s="343">
        <v>0</v>
      </c>
      <c r="BJ199" s="346">
        <v>1.7226700000000001</v>
      </c>
      <c r="BK199" s="346">
        <v>-144.04560000000001</v>
      </c>
      <c r="BL199" s="343">
        <v>0</v>
      </c>
      <c r="BM199" s="343">
        <v>0</v>
      </c>
      <c r="BN199" s="346">
        <v>145.76827</v>
      </c>
      <c r="BP199" s="346">
        <v>5806.7351199999994</v>
      </c>
      <c r="BQ199" s="318">
        <v>962.22825</v>
      </c>
      <c r="BR199" s="278">
        <v>-11.142899999999999</v>
      </c>
      <c r="BS199" s="475">
        <v>-418.53284000000002</v>
      </c>
      <c r="BT199" s="278">
        <v>906.02817000000005</v>
      </c>
      <c r="BU199" s="278">
        <v>111.49946000000001</v>
      </c>
      <c r="BV199" s="345">
        <v>3731.65951</v>
      </c>
      <c r="BX199" s="278">
        <v>5031.4814500000002</v>
      </c>
      <c r="BY199" s="483">
        <v>0</v>
      </c>
      <c r="BZ199" s="483">
        <v>-831.29630000000009</v>
      </c>
      <c r="CA199" s="260"/>
      <c r="CB199" s="347">
        <v>8.9</v>
      </c>
      <c r="CC199" s="486">
        <f t="shared" si="3"/>
        <v>8.9</v>
      </c>
      <c r="CD199" s="287"/>
      <c r="CE199" s="278"/>
      <c r="CF199" s="268"/>
      <c r="CI199" s="158">
        <v>0</v>
      </c>
      <c r="CJ199" s="343">
        <v>3758.0999098023362</v>
      </c>
      <c r="CK199" s="343">
        <v>4476.275030434439</v>
      </c>
      <c r="CL199" s="343">
        <v>4527.7736004711633</v>
      </c>
      <c r="CM199" s="487">
        <v>4539.2970841703991</v>
      </c>
      <c r="CN199" s="487">
        <v>5018.4967714999757</v>
      </c>
      <c r="CO199" s="495">
        <v>83.849000000000004</v>
      </c>
      <c r="CP199" s="299"/>
      <c r="CQ199" s="489">
        <v>27.0121</v>
      </c>
      <c r="CR199" s="489">
        <v>0</v>
      </c>
    </row>
    <row r="200" spans="1:96" x14ac:dyDescent="0.2">
      <c r="A200" s="154">
        <v>623</v>
      </c>
      <c r="B200" s="156" t="s">
        <v>14</v>
      </c>
      <c r="C200" s="337">
        <v>2107</v>
      </c>
      <c r="D200" s="276">
        <v>19.5</v>
      </c>
      <c r="E200" s="185"/>
      <c r="G200" s="278">
        <v>3022.2745099999997</v>
      </c>
      <c r="H200" s="278">
        <v>21149.65494</v>
      </c>
      <c r="I200" s="278"/>
      <c r="J200" s="278">
        <v>6947.4149699999998</v>
      </c>
      <c r="K200" s="278">
        <v>2196.1408900000001</v>
      </c>
      <c r="L200" s="278">
        <v>1863.0239899999999</v>
      </c>
      <c r="M200" s="278">
        <v>11006.57985</v>
      </c>
      <c r="N200" s="278">
        <v>8379.4429999999993</v>
      </c>
      <c r="O200" s="278">
        <v>15.742940000000001</v>
      </c>
      <c r="P200" s="278">
        <v>1.61355</v>
      </c>
      <c r="Q200" s="278">
        <v>63.465350000000001</v>
      </c>
      <c r="R200" s="278">
        <v>14.3498</v>
      </c>
      <c r="S200" s="278">
        <v>1321.8873600000002</v>
      </c>
      <c r="U200" s="278">
        <v>721.88013999999998</v>
      </c>
      <c r="V200" s="278">
        <v>9.5920000000000005E-2</v>
      </c>
      <c r="W200" s="278">
        <v>0</v>
      </c>
      <c r="X200" s="278">
        <v>600.10314000000005</v>
      </c>
      <c r="Y200" s="278">
        <v>0</v>
      </c>
      <c r="Z200" s="278">
        <v>0</v>
      </c>
      <c r="AA200" s="278">
        <v>-25</v>
      </c>
      <c r="AB200" s="278">
        <v>625.10314000000005</v>
      </c>
      <c r="AD200" s="278">
        <v>12554.332259999999</v>
      </c>
      <c r="AE200" s="157">
        <v>1705.2715900000001</v>
      </c>
      <c r="AF200" s="184">
        <v>385.50531000000001</v>
      </c>
      <c r="AG200" s="278">
        <v>-2005.3346100000001</v>
      </c>
      <c r="AH200" s="278">
        <v>60.799630000000001</v>
      </c>
      <c r="AI200" s="184">
        <v>39.478999999999999</v>
      </c>
      <c r="AJ200" s="278">
        <v>8182.6299300000001</v>
      </c>
      <c r="AL200" s="278">
        <v>50</v>
      </c>
      <c r="AM200" s="184">
        <v>0</v>
      </c>
      <c r="AN200" s="278">
        <v>-50</v>
      </c>
      <c r="AO200" s="355">
        <v>2108</v>
      </c>
      <c r="AP200" s="344">
        <v>6.8600000000000012</v>
      </c>
      <c r="AQ200" s="462"/>
      <c r="AS200" s="469">
        <v>2394.4633199999998</v>
      </c>
      <c r="AT200" s="278">
        <v>7952.5851299999995</v>
      </c>
      <c r="AU200" s="464"/>
      <c r="AV200" s="346">
        <v>3317.8323999999998</v>
      </c>
      <c r="AW200" s="346">
        <v>1211.4918300000002</v>
      </c>
      <c r="AX200" s="346">
        <v>1909.6855500000001</v>
      </c>
      <c r="AY200" s="346">
        <v>6439.0097800000003</v>
      </c>
      <c r="AZ200" s="346">
        <v>1412.2570000000001</v>
      </c>
      <c r="BA200" s="278">
        <v>112.14108999999999</v>
      </c>
      <c r="BB200" s="345">
        <v>0.43072000000000005</v>
      </c>
      <c r="BC200" s="278">
        <v>64.240160000000003</v>
      </c>
      <c r="BD200" s="278">
        <v>1.1938499999999999</v>
      </c>
      <c r="BE200" s="346">
        <v>2467.9016499999998</v>
      </c>
      <c r="BG200" s="343">
        <v>809.47930000000008</v>
      </c>
      <c r="BH200" s="343">
        <v>0</v>
      </c>
      <c r="BI200" s="343">
        <v>0</v>
      </c>
      <c r="BJ200" s="346">
        <v>1658.4223500000001</v>
      </c>
      <c r="BK200" s="346">
        <v>0</v>
      </c>
      <c r="BL200" s="343">
        <v>300</v>
      </c>
      <c r="BM200" s="343">
        <v>0</v>
      </c>
      <c r="BN200" s="346">
        <v>1358.4223500000001</v>
      </c>
      <c r="BP200" s="346">
        <v>13912.75461</v>
      </c>
      <c r="BQ200" s="318">
        <v>2099.9299900000001</v>
      </c>
      <c r="BR200" s="278">
        <v>-367.97165999999999</v>
      </c>
      <c r="BS200" s="475">
        <v>-1662.8269299999999</v>
      </c>
      <c r="BT200" s="278">
        <v>94.266289999999998</v>
      </c>
      <c r="BU200" s="278">
        <v>148.6</v>
      </c>
      <c r="BV200" s="345">
        <v>8305.1443199999994</v>
      </c>
      <c r="BX200" s="278">
        <v>0</v>
      </c>
      <c r="BY200" s="483">
        <v>0</v>
      </c>
      <c r="BZ200" s="483">
        <v>-50</v>
      </c>
      <c r="CA200" s="260"/>
      <c r="CB200" s="347">
        <v>6.6000000000000005</v>
      </c>
      <c r="CC200" s="486">
        <f t="shared" si="3"/>
        <v>6.6000000000000005</v>
      </c>
      <c r="CD200" s="287"/>
      <c r="CE200" s="278"/>
      <c r="CF200" s="268"/>
      <c r="CI200" s="158">
        <v>0</v>
      </c>
      <c r="CJ200" s="343">
        <v>1304.0597345447143</v>
      </c>
      <c r="CK200" s="343">
        <v>1367.5492244523944</v>
      </c>
      <c r="CL200" s="343">
        <v>1382.9282702029598</v>
      </c>
      <c r="CM200" s="487">
        <v>1338.077283422816</v>
      </c>
      <c r="CN200" s="487">
        <v>1435.8211688591687</v>
      </c>
      <c r="CO200" s="495">
        <v>-516.18100000000004</v>
      </c>
      <c r="CP200" s="299"/>
      <c r="CQ200" s="489">
        <v>0</v>
      </c>
      <c r="CR200" s="489">
        <v>0</v>
      </c>
    </row>
    <row r="201" spans="1:96" x14ac:dyDescent="0.2">
      <c r="A201" s="154">
        <v>624</v>
      </c>
      <c r="B201" s="156" t="s">
        <v>227</v>
      </c>
      <c r="C201" s="337">
        <v>5117</v>
      </c>
      <c r="D201" s="276">
        <v>20.75</v>
      </c>
      <c r="E201" s="185"/>
      <c r="G201" s="278">
        <v>2324.7064500000001</v>
      </c>
      <c r="H201" s="278">
        <v>33888.873490000005</v>
      </c>
      <c r="I201" s="278"/>
      <c r="J201" s="278">
        <v>20260.205570000002</v>
      </c>
      <c r="K201" s="278">
        <v>1279.95135</v>
      </c>
      <c r="L201" s="278">
        <v>2162.9354399999997</v>
      </c>
      <c r="M201" s="278">
        <v>23703.092359999999</v>
      </c>
      <c r="N201" s="278">
        <v>10536.385</v>
      </c>
      <c r="O201" s="278">
        <v>21.875959999999999</v>
      </c>
      <c r="P201" s="278">
        <v>85.9649</v>
      </c>
      <c r="Q201" s="278">
        <v>23.781590000000001</v>
      </c>
      <c r="R201" s="278">
        <v>4.0549600000000003</v>
      </c>
      <c r="S201" s="278">
        <v>2630.9480099999996</v>
      </c>
      <c r="U201" s="278">
        <v>1495.4830300000001</v>
      </c>
      <c r="V201" s="278">
        <v>17.531419999999997</v>
      </c>
      <c r="W201" s="278">
        <v>62.173999999999999</v>
      </c>
      <c r="X201" s="278">
        <v>1090.8224</v>
      </c>
      <c r="Y201" s="278">
        <v>0</v>
      </c>
      <c r="Z201" s="278">
        <v>0</v>
      </c>
      <c r="AA201" s="278">
        <v>0</v>
      </c>
      <c r="AB201" s="278">
        <v>1090.8224</v>
      </c>
      <c r="AD201" s="278">
        <v>5316.4279700000006</v>
      </c>
      <c r="AE201" s="157">
        <v>1183.88527</v>
      </c>
      <c r="AF201" s="184">
        <v>-1402.4201599999999</v>
      </c>
      <c r="AG201" s="278">
        <v>-3082.4019800000001</v>
      </c>
      <c r="AH201" s="278">
        <v>25.76</v>
      </c>
      <c r="AI201" s="184">
        <v>1311.895</v>
      </c>
      <c r="AJ201" s="278">
        <v>2849.2616899999994</v>
      </c>
      <c r="AL201" s="278">
        <v>12881.730930000002</v>
      </c>
      <c r="AM201" s="184">
        <v>25.137499999999999</v>
      </c>
      <c r="AN201" s="278">
        <v>356.73093</v>
      </c>
      <c r="AO201" s="355">
        <v>5065</v>
      </c>
      <c r="AP201" s="344">
        <v>8.11</v>
      </c>
      <c r="AQ201" s="462"/>
      <c r="AS201" s="469">
        <v>1391.3115700000001</v>
      </c>
      <c r="AT201" s="278">
        <v>15415.912970000001</v>
      </c>
      <c r="AU201" s="464"/>
      <c r="AV201" s="346">
        <v>10131.33208</v>
      </c>
      <c r="AW201" s="346">
        <v>991.85097999999994</v>
      </c>
      <c r="AX201" s="346">
        <v>2253.7287500000002</v>
      </c>
      <c r="AY201" s="346">
        <v>13376.911810000001</v>
      </c>
      <c r="AZ201" s="346">
        <v>5422.8819999999996</v>
      </c>
      <c r="BA201" s="278">
        <v>115.30242</v>
      </c>
      <c r="BB201" s="345">
        <v>308.16521999999998</v>
      </c>
      <c r="BC201" s="278">
        <v>19.006689999999999</v>
      </c>
      <c r="BD201" s="278">
        <v>4.0174599999999998</v>
      </c>
      <c r="BE201" s="346">
        <v>4597.3188399999999</v>
      </c>
      <c r="BG201" s="343">
        <v>1560.69751</v>
      </c>
      <c r="BH201" s="343">
        <v>0</v>
      </c>
      <c r="BI201" s="346">
        <v>0</v>
      </c>
      <c r="BJ201" s="346">
        <v>3036.6213299999999</v>
      </c>
      <c r="BK201" s="343">
        <v>0</v>
      </c>
      <c r="BL201" s="343">
        <v>0</v>
      </c>
      <c r="BM201" s="343">
        <v>0</v>
      </c>
      <c r="BN201" s="346">
        <v>3036.6213299999999</v>
      </c>
      <c r="BP201" s="346">
        <v>8353.0492999999988</v>
      </c>
      <c r="BQ201" s="318">
        <v>4533.68804</v>
      </c>
      <c r="BR201" s="278">
        <v>-63.630800000000001</v>
      </c>
      <c r="BS201" s="475">
        <v>-2129.38051</v>
      </c>
      <c r="BT201" s="278">
        <v>28.8</v>
      </c>
      <c r="BU201" s="278">
        <v>73.678600000000003</v>
      </c>
      <c r="BV201" s="345">
        <v>910.96960999999999</v>
      </c>
      <c r="BX201" s="278">
        <v>10736.04205</v>
      </c>
      <c r="BY201" s="483">
        <v>-23.55</v>
      </c>
      <c r="BZ201" s="483">
        <v>-2145.6888799999997</v>
      </c>
      <c r="CA201" s="260"/>
      <c r="CB201" s="347">
        <v>8.1</v>
      </c>
      <c r="CC201" s="486">
        <f t="shared" si="3"/>
        <v>8.1</v>
      </c>
      <c r="CD201" s="287"/>
      <c r="CE201" s="278"/>
      <c r="CF201" s="268"/>
      <c r="CI201" s="158">
        <v>0</v>
      </c>
      <c r="CJ201" s="343">
        <v>3989.9966604864758</v>
      </c>
      <c r="CK201" s="343">
        <v>4194.5138324552709</v>
      </c>
      <c r="CL201" s="343">
        <v>4196.5400827407611</v>
      </c>
      <c r="CM201" s="487">
        <v>4226.7098255515393</v>
      </c>
      <c r="CN201" s="487">
        <v>4647.8699648468291</v>
      </c>
      <c r="CO201" s="495">
        <v>-839.75800000000004</v>
      </c>
      <c r="CP201" s="299"/>
      <c r="CQ201" s="489">
        <v>0</v>
      </c>
      <c r="CR201" s="489">
        <v>0</v>
      </c>
    </row>
    <row r="202" spans="1:96" x14ac:dyDescent="0.2">
      <c r="A202" s="154">
        <v>625</v>
      </c>
      <c r="B202" s="156" t="s">
        <v>228</v>
      </c>
      <c r="C202" s="337">
        <v>2991</v>
      </c>
      <c r="D202" s="276">
        <v>20.75</v>
      </c>
      <c r="E202" s="185"/>
      <c r="G202" s="278">
        <v>3175.5717</v>
      </c>
      <c r="H202" s="278">
        <v>26924.734069999999</v>
      </c>
      <c r="I202" s="278"/>
      <c r="J202" s="278">
        <v>11874.574550000001</v>
      </c>
      <c r="K202" s="278">
        <v>874.61390000000006</v>
      </c>
      <c r="L202" s="278">
        <v>3317.0761600000001</v>
      </c>
      <c r="M202" s="278">
        <v>16066.26461</v>
      </c>
      <c r="N202" s="278">
        <v>11800.534</v>
      </c>
      <c r="O202" s="278">
        <v>11.525790000000001</v>
      </c>
      <c r="P202" s="278">
        <v>54.080150000000003</v>
      </c>
      <c r="Q202" s="278">
        <v>196.17875000000001</v>
      </c>
      <c r="R202" s="278">
        <v>842.14363000000003</v>
      </c>
      <c r="S202" s="278">
        <v>3429.1170000000002</v>
      </c>
      <c r="U202" s="278">
        <v>2101.2088799999997</v>
      </c>
      <c r="V202" s="278">
        <v>0</v>
      </c>
      <c r="W202" s="278">
        <v>0</v>
      </c>
      <c r="X202" s="278">
        <v>1327.9081200000001</v>
      </c>
      <c r="Y202" s="278">
        <v>0</v>
      </c>
      <c r="Z202" s="278">
        <v>0</v>
      </c>
      <c r="AA202" s="278">
        <v>0</v>
      </c>
      <c r="AB202" s="278">
        <v>1327.9081200000001</v>
      </c>
      <c r="AD202" s="278">
        <v>14717.255170000002</v>
      </c>
      <c r="AE202" s="157">
        <v>3482.6997700000002</v>
      </c>
      <c r="AF202" s="184">
        <v>53.582769999999996</v>
      </c>
      <c r="AG202" s="278">
        <v>-4781.2516500000002</v>
      </c>
      <c r="AH202" s="278">
        <v>1252.8675000000001</v>
      </c>
      <c r="AI202" s="184">
        <v>7.5</v>
      </c>
      <c r="AJ202" s="278">
        <v>8099.1910199999993</v>
      </c>
      <c r="AL202" s="278">
        <v>8500</v>
      </c>
      <c r="AM202" s="184">
        <v>60.870179999999998</v>
      </c>
      <c r="AN202" s="278">
        <v>-1450</v>
      </c>
      <c r="AO202" s="355">
        <v>2980</v>
      </c>
      <c r="AP202" s="344">
        <v>8.1099999999999977</v>
      </c>
      <c r="AQ202" s="462"/>
      <c r="AS202" s="469">
        <v>2446.8608799999997</v>
      </c>
      <c r="AT202" s="278">
        <v>13739.884529999999</v>
      </c>
      <c r="AU202" s="464"/>
      <c r="AV202" s="346">
        <v>4756.1808099999998</v>
      </c>
      <c r="AW202" s="346">
        <v>579.77787000000001</v>
      </c>
      <c r="AX202" s="346">
        <v>5947.1661299999996</v>
      </c>
      <c r="AY202" s="346">
        <v>11283.124810000001</v>
      </c>
      <c r="AZ202" s="346">
        <v>4905.9342400000005</v>
      </c>
      <c r="BA202" s="278">
        <v>23.030080000000002</v>
      </c>
      <c r="BB202" s="345">
        <v>299.28881999999999</v>
      </c>
      <c r="BC202" s="278">
        <v>382.13997999999998</v>
      </c>
      <c r="BD202" s="278">
        <v>20.27197</v>
      </c>
      <c r="BE202" s="346">
        <v>4981.6446699999997</v>
      </c>
      <c r="BG202" s="343">
        <v>1883.81079</v>
      </c>
      <c r="BH202" s="343">
        <v>0</v>
      </c>
      <c r="BI202" s="343">
        <v>0</v>
      </c>
      <c r="BJ202" s="346">
        <v>3097.8338799999997</v>
      </c>
      <c r="BK202" s="343">
        <v>-37.5</v>
      </c>
      <c r="BL202" s="343">
        <v>3000</v>
      </c>
      <c r="BM202" s="343">
        <v>0</v>
      </c>
      <c r="BN202" s="346">
        <v>135.33387999999999</v>
      </c>
      <c r="BP202" s="346">
        <v>15390.258739999999</v>
      </c>
      <c r="BQ202" s="318">
        <v>4941.9646600000005</v>
      </c>
      <c r="BR202" s="278">
        <v>-39.680010000000003</v>
      </c>
      <c r="BS202" s="475">
        <v>-2786.1430299999997</v>
      </c>
      <c r="BT202" s="278">
        <v>476.52328</v>
      </c>
      <c r="BU202" s="278">
        <v>41.068959999999997</v>
      </c>
      <c r="BV202" s="345">
        <v>8090.6813200000006</v>
      </c>
      <c r="BX202" s="278">
        <v>6900</v>
      </c>
      <c r="BY202" s="483">
        <v>41.754559999999998</v>
      </c>
      <c r="BZ202" s="483">
        <v>-1600</v>
      </c>
      <c r="CA202" s="260"/>
      <c r="CB202" s="347">
        <v>7.9</v>
      </c>
      <c r="CC202" s="486">
        <f t="shared" si="3"/>
        <v>7.9</v>
      </c>
      <c r="CD202" s="287"/>
      <c r="CE202" s="278"/>
      <c r="CF202" s="268"/>
      <c r="CI202" s="158">
        <v>0</v>
      </c>
      <c r="CJ202" s="343">
        <v>4425.9184983475716</v>
      </c>
      <c r="CK202" s="343">
        <v>4575.1962796595089</v>
      </c>
      <c r="CL202" s="343">
        <v>4581.3080916967174</v>
      </c>
      <c r="CM202" s="487">
        <v>4453.0447232922443</v>
      </c>
      <c r="CN202" s="487">
        <v>4770.9217963513847</v>
      </c>
      <c r="CO202" s="495">
        <v>299.99799999999999</v>
      </c>
      <c r="CP202" s="299"/>
      <c r="CQ202" s="489">
        <v>0</v>
      </c>
      <c r="CR202" s="489">
        <v>0</v>
      </c>
    </row>
    <row r="203" spans="1:96" x14ac:dyDescent="0.2">
      <c r="A203" s="154">
        <v>626</v>
      </c>
      <c r="B203" s="156" t="s">
        <v>229</v>
      </c>
      <c r="C203" s="337">
        <v>4835</v>
      </c>
      <c r="D203" s="276">
        <v>21.75</v>
      </c>
      <c r="E203" s="185"/>
      <c r="G203" s="278">
        <v>4490.72415</v>
      </c>
      <c r="H203" s="278">
        <v>45768.534189999998</v>
      </c>
      <c r="I203" s="278"/>
      <c r="J203" s="278">
        <v>15551.89011</v>
      </c>
      <c r="K203" s="278">
        <v>4320.5428300000003</v>
      </c>
      <c r="L203" s="278">
        <v>1319.6978999999999</v>
      </c>
      <c r="M203" s="278">
        <v>21192.130840000002</v>
      </c>
      <c r="N203" s="278">
        <v>20571.829000000002</v>
      </c>
      <c r="O203" s="278">
        <v>21.74175</v>
      </c>
      <c r="P203" s="278">
        <v>162.32953000000001</v>
      </c>
      <c r="Q203" s="278">
        <v>22.532959999999999</v>
      </c>
      <c r="R203" s="278">
        <v>267.39506</v>
      </c>
      <c r="S203" s="278">
        <v>100.69991999999999</v>
      </c>
      <c r="U203" s="278">
        <v>1431.0686599999999</v>
      </c>
      <c r="V203" s="278">
        <v>0</v>
      </c>
      <c r="W203" s="278">
        <v>0</v>
      </c>
      <c r="X203" s="278">
        <v>-1330.3687399999999</v>
      </c>
      <c r="Y203" s="278">
        <v>-328.31615000000005</v>
      </c>
      <c r="Z203" s="278">
        <v>0</v>
      </c>
      <c r="AA203" s="278">
        <v>0</v>
      </c>
      <c r="AB203" s="278">
        <v>-1002.05259</v>
      </c>
      <c r="AD203" s="278">
        <v>2243.3486699999999</v>
      </c>
      <c r="AE203" s="157">
        <v>116.71985000000001</v>
      </c>
      <c r="AF203" s="184">
        <v>16.019929999999999</v>
      </c>
      <c r="AG203" s="278">
        <v>-1155.57132</v>
      </c>
      <c r="AH203" s="278">
        <v>53.47</v>
      </c>
      <c r="AI203" s="184">
        <v>46.364269999999998</v>
      </c>
      <c r="AJ203" s="278">
        <v>10800.78961</v>
      </c>
      <c r="AL203" s="278">
        <v>26115.187000000002</v>
      </c>
      <c r="AM203" s="184">
        <v>-203.7</v>
      </c>
      <c r="AN203" s="278">
        <v>-2068.5659999999998</v>
      </c>
      <c r="AO203" s="355">
        <v>4756</v>
      </c>
      <c r="AP203" s="344">
        <v>9.11</v>
      </c>
      <c r="AQ203" s="462"/>
      <c r="AS203" s="469">
        <v>3771.6874700000003</v>
      </c>
      <c r="AT203" s="278">
        <v>18181.537399999997</v>
      </c>
      <c r="AU203" s="464"/>
      <c r="AV203" s="346">
        <v>7885.5995199999998</v>
      </c>
      <c r="AW203" s="346">
        <v>1751.5421299999998</v>
      </c>
      <c r="AX203" s="346">
        <v>1402.60752</v>
      </c>
      <c r="AY203" s="346">
        <v>11039.749169999999</v>
      </c>
      <c r="AZ203" s="346">
        <v>2004.99</v>
      </c>
      <c r="BA203" s="278">
        <v>95.331159999999997</v>
      </c>
      <c r="BB203" s="345">
        <v>838.79756999999995</v>
      </c>
      <c r="BC203" s="278">
        <v>703.69563000000005</v>
      </c>
      <c r="BD203" s="278">
        <v>183.90643</v>
      </c>
      <c r="BE203" s="346">
        <v>-1588.7879699999999</v>
      </c>
      <c r="BG203" s="343">
        <v>1351.5130300000001</v>
      </c>
      <c r="BH203" s="343">
        <v>0</v>
      </c>
      <c r="BI203" s="343">
        <v>65</v>
      </c>
      <c r="BJ203" s="346">
        <v>-3005.3009999999999</v>
      </c>
      <c r="BK203" s="343">
        <v>-325.10181</v>
      </c>
      <c r="BL203" s="343">
        <v>0</v>
      </c>
      <c r="BM203" s="343">
        <v>0</v>
      </c>
      <c r="BN203" s="346">
        <v>-2680.1991899999998</v>
      </c>
      <c r="BP203" s="346">
        <v>-436.85051999999996</v>
      </c>
      <c r="BQ203" s="318">
        <v>-1599.79168</v>
      </c>
      <c r="BR203" s="278">
        <v>53.996290000000002</v>
      </c>
      <c r="BS203" s="475">
        <v>-2272.7682599999998</v>
      </c>
      <c r="BT203" s="278">
        <v>0</v>
      </c>
      <c r="BU203" s="278">
        <v>32.559560000000005</v>
      </c>
      <c r="BV203" s="345">
        <v>10496.543180000001</v>
      </c>
      <c r="BX203" s="278">
        <v>31986.620999999999</v>
      </c>
      <c r="BY203" s="483">
        <v>398.09199999999998</v>
      </c>
      <c r="BZ203" s="483">
        <v>5871.4340000000002</v>
      </c>
      <c r="CA203" s="260"/>
      <c r="CB203" s="347">
        <v>9.1</v>
      </c>
      <c r="CC203" s="486">
        <f t="shared" si="3"/>
        <v>9.1</v>
      </c>
      <c r="CD203" s="287"/>
      <c r="CE203" s="278"/>
      <c r="CF203" s="268"/>
      <c r="CI203" s="158">
        <v>0</v>
      </c>
      <c r="CJ203" s="343">
        <v>2615.7862615641457</v>
      </c>
      <c r="CK203" s="343">
        <v>3934.9799948046048</v>
      </c>
      <c r="CL203" s="343">
        <v>4270.8436775810314</v>
      </c>
      <c r="CM203" s="487">
        <v>4367.9348294133115</v>
      </c>
      <c r="CN203" s="487">
        <v>5166.165761259469</v>
      </c>
      <c r="CO203" s="495">
        <v>-173.95599999999999</v>
      </c>
      <c r="CP203" s="299"/>
      <c r="CQ203" s="489">
        <v>0</v>
      </c>
      <c r="CR203" s="489">
        <v>0</v>
      </c>
    </row>
    <row r="204" spans="1:96" x14ac:dyDescent="0.2">
      <c r="A204" s="154">
        <v>630</v>
      </c>
      <c r="B204" s="156" t="s">
        <v>230</v>
      </c>
      <c r="C204" s="337">
        <v>1635</v>
      </c>
      <c r="D204" s="276">
        <v>19.75</v>
      </c>
      <c r="E204" s="185"/>
      <c r="G204" s="278">
        <v>2172.6815899999997</v>
      </c>
      <c r="H204" s="278">
        <v>14001.743869999998</v>
      </c>
      <c r="I204" s="278"/>
      <c r="J204" s="278">
        <v>4342.6175700000003</v>
      </c>
      <c r="K204" s="278">
        <v>1020.8091400000001</v>
      </c>
      <c r="L204" s="278">
        <v>1335.4433000000001</v>
      </c>
      <c r="M204" s="278">
        <v>6698.8700099999996</v>
      </c>
      <c r="N204" s="278">
        <v>6933.24</v>
      </c>
      <c r="O204" s="278">
        <v>20.384439999999998</v>
      </c>
      <c r="P204" s="278">
        <v>83.0398</v>
      </c>
      <c r="Q204" s="278">
        <v>22.789490000000001</v>
      </c>
      <c r="R204" s="278">
        <v>14.245149999999999</v>
      </c>
      <c r="S204" s="278">
        <v>1752.56871</v>
      </c>
      <c r="U204" s="278">
        <v>1007.22483</v>
      </c>
      <c r="V204" s="278">
        <v>0</v>
      </c>
      <c r="W204" s="278">
        <v>0</v>
      </c>
      <c r="X204" s="278">
        <v>745.34388000000001</v>
      </c>
      <c r="Y204" s="278">
        <v>-89.542199999999994</v>
      </c>
      <c r="Z204" s="278">
        <v>0</v>
      </c>
      <c r="AA204" s="278">
        <v>0</v>
      </c>
      <c r="AB204" s="278">
        <v>834.88607999999999</v>
      </c>
      <c r="AD204" s="278">
        <v>4079.9662699999999</v>
      </c>
      <c r="AE204" s="157">
        <v>1759.17092</v>
      </c>
      <c r="AF204" s="184">
        <v>6.6022100000000004</v>
      </c>
      <c r="AG204" s="278">
        <v>-3174.98999</v>
      </c>
      <c r="AH204" s="278">
        <v>1.00075</v>
      </c>
      <c r="AI204" s="184">
        <v>29.988709999999998</v>
      </c>
      <c r="AJ204" s="278">
        <v>2449.3923</v>
      </c>
      <c r="AL204" s="278">
        <v>8300.0000000000018</v>
      </c>
      <c r="AM204" s="184">
        <v>40</v>
      </c>
      <c r="AN204" s="278">
        <v>3041.6480000000001</v>
      </c>
      <c r="AO204" s="355">
        <v>1646</v>
      </c>
      <c r="AP204" s="344">
        <v>7.1100000000000012</v>
      </c>
      <c r="AQ204" s="462"/>
      <c r="AS204" s="469">
        <v>2311.7887099999998</v>
      </c>
      <c r="AT204" s="278">
        <v>7476.0557399999998</v>
      </c>
      <c r="AU204" s="464"/>
      <c r="AV204" s="346">
        <v>2292.5291000000002</v>
      </c>
      <c r="AW204" s="346">
        <v>642.49585999999999</v>
      </c>
      <c r="AX204" s="346">
        <v>1386.21984</v>
      </c>
      <c r="AY204" s="346">
        <v>4321.2447999999995</v>
      </c>
      <c r="AZ204" s="346">
        <v>2245.8609999999999</v>
      </c>
      <c r="BA204" s="278">
        <v>11.4</v>
      </c>
      <c r="BB204" s="345">
        <v>199.20237</v>
      </c>
      <c r="BC204" s="278">
        <v>40.847699999999996</v>
      </c>
      <c r="BD204" s="278">
        <v>13.53294</v>
      </c>
      <c r="BE204" s="346">
        <v>1242.3511599999999</v>
      </c>
      <c r="BG204" s="343">
        <v>894.17284999999993</v>
      </c>
      <c r="BH204" s="343">
        <v>0</v>
      </c>
      <c r="BI204" s="343">
        <v>0</v>
      </c>
      <c r="BJ204" s="346">
        <v>348.17831000000001</v>
      </c>
      <c r="BK204" s="343">
        <v>-83.675669999999997</v>
      </c>
      <c r="BL204" s="343">
        <v>0</v>
      </c>
      <c r="BM204" s="343">
        <v>0</v>
      </c>
      <c r="BN204" s="346">
        <v>431.85397999999998</v>
      </c>
      <c r="BP204" s="346">
        <v>4474.4650899999997</v>
      </c>
      <c r="BQ204" s="318">
        <v>1222.8813700000001</v>
      </c>
      <c r="BR204" s="278">
        <v>-19.46979</v>
      </c>
      <c r="BS204" s="475">
        <v>-4846.9789700000001</v>
      </c>
      <c r="BT204" s="278">
        <v>626.26631999999995</v>
      </c>
      <c r="BU204" s="278">
        <v>26.25</v>
      </c>
      <c r="BV204" s="345">
        <v>683.00977</v>
      </c>
      <c r="BX204" s="278">
        <v>10850</v>
      </c>
      <c r="BY204" s="483">
        <v>40</v>
      </c>
      <c r="BZ204" s="483">
        <v>2550</v>
      </c>
      <c r="CA204" s="260"/>
      <c r="CB204" s="347">
        <v>8</v>
      </c>
      <c r="CC204" s="486">
        <f t="shared" si="3"/>
        <v>8</v>
      </c>
      <c r="CD204" s="287"/>
      <c r="CE204" s="278"/>
      <c r="CF204" s="268"/>
      <c r="CI204" s="158">
        <v>0</v>
      </c>
      <c r="CJ204" s="343">
        <v>2550.0643295038699</v>
      </c>
      <c r="CK204" s="343">
        <v>2975.9079094132935</v>
      </c>
      <c r="CL204" s="343">
        <v>2855.1149344106848</v>
      </c>
      <c r="CM204" s="487">
        <v>3051.3694103955781</v>
      </c>
      <c r="CN204" s="487">
        <v>3287.5442152798046</v>
      </c>
      <c r="CO204" s="495">
        <v>-178.59</v>
      </c>
      <c r="CP204" s="299"/>
      <c r="CQ204" s="489">
        <v>3.6320000000000001</v>
      </c>
      <c r="CR204" s="489">
        <v>0</v>
      </c>
    </row>
    <row r="205" spans="1:96" x14ac:dyDescent="0.2">
      <c r="A205" s="154">
        <v>631</v>
      </c>
      <c r="B205" s="156" t="s">
        <v>231</v>
      </c>
      <c r="C205" s="337">
        <v>1963</v>
      </c>
      <c r="D205" s="276">
        <v>21.75</v>
      </c>
      <c r="E205" s="185"/>
      <c r="G205" s="278">
        <v>1029.5653600000001</v>
      </c>
      <c r="H205" s="278">
        <v>14058.708939999999</v>
      </c>
      <c r="I205" s="278"/>
      <c r="J205" s="278">
        <v>7856.7569000000003</v>
      </c>
      <c r="K205" s="278">
        <v>576.28204000000005</v>
      </c>
      <c r="L205" s="278">
        <v>807.42836999999997</v>
      </c>
      <c r="M205" s="278">
        <v>9240.46731</v>
      </c>
      <c r="N205" s="278">
        <v>4300.9340000000002</v>
      </c>
      <c r="O205" s="278">
        <v>0.61532000000000009</v>
      </c>
      <c r="P205" s="278">
        <v>7.2071099999999992</v>
      </c>
      <c r="Q205" s="278">
        <v>55.015589999999996</v>
      </c>
      <c r="R205" s="278">
        <v>16.824300000000001</v>
      </c>
      <c r="S205" s="278">
        <v>543.85722999999996</v>
      </c>
      <c r="U205" s="278">
        <v>1102.8962300000001</v>
      </c>
      <c r="V205" s="278">
        <v>0</v>
      </c>
      <c r="W205" s="278">
        <v>0.85209999999999997</v>
      </c>
      <c r="X205" s="278">
        <v>-559.89109999999994</v>
      </c>
      <c r="Y205" s="278">
        <v>-23.310020000000002</v>
      </c>
      <c r="Z205" s="278">
        <v>0</v>
      </c>
      <c r="AA205" s="278">
        <v>0</v>
      </c>
      <c r="AB205" s="278">
        <v>-536.58107999999993</v>
      </c>
      <c r="AD205" s="278">
        <v>1937.7754100000002</v>
      </c>
      <c r="AE205" s="157">
        <v>543.18768</v>
      </c>
      <c r="AF205" s="184">
        <v>0.18255000000000002</v>
      </c>
      <c r="AG205" s="278">
        <v>-221.13959</v>
      </c>
      <c r="AH205" s="278">
        <v>0</v>
      </c>
      <c r="AI205" s="184">
        <v>3.1680000000000001</v>
      </c>
      <c r="AJ205" s="278">
        <v>3303.0286099999998</v>
      </c>
      <c r="AL205" s="278">
        <v>1574.9999999999995</v>
      </c>
      <c r="AM205" s="184">
        <v>0</v>
      </c>
      <c r="AN205" s="278">
        <v>-250</v>
      </c>
      <c r="AO205" s="355">
        <v>1930</v>
      </c>
      <c r="AP205" s="344">
        <v>9.11</v>
      </c>
      <c r="AQ205" s="462"/>
      <c r="AS205" s="469">
        <v>685.84761000000003</v>
      </c>
      <c r="AT205" s="278">
        <v>6347.4864500000003</v>
      </c>
      <c r="AU205" s="464"/>
      <c r="AV205" s="346">
        <v>3777.47138</v>
      </c>
      <c r="AW205" s="346">
        <v>320.74603999999999</v>
      </c>
      <c r="AX205" s="346">
        <v>816.32978000000003</v>
      </c>
      <c r="AY205" s="346">
        <v>4914.5472</v>
      </c>
      <c r="AZ205" s="346">
        <v>1944.5034099999998</v>
      </c>
      <c r="BA205" s="278">
        <v>9.3514500000000016</v>
      </c>
      <c r="BB205" s="345">
        <v>14.99385</v>
      </c>
      <c r="BC205" s="278">
        <v>5.1048200000000001</v>
      </c>
      <c r="BD205" s="278">
        <v>9.4671800000000008</v>
      </c>
      <c r="BE205" s="346">
        <v>1187.4070099999999</v>
      </c>
      <c r="BG205" s="343">
        <v>693.93753000000004</v>
      </c>
      <c r="BH205" s="343">
        <v>0</v>
      </c>
      <c r="BI205" s="343">
        <v>0</v>
      </c>
      <c r="BJ205" s="346">
        <v>493.46947999999998</v>
      </c>
      <c r="BK205" s="346">
        <v>-23.310020000000002</v>
      </c>
      <c r="BL205" s="343">
        <v>0</v>
      </c>
      <c r="BM205" s="343">
        <v>0</v>
      </c>
      <c r="BN205" s="346">
        <v>516.77949999999998</v>
      </c>
      <c r="BP205" s="346">
        <v>2454.5549099999998</v>
      </c>
      <c r="BQ205" s="318">
        <v>1149.9224999999999</v>
      </c>
      <c r="BR205" s="278">
        <v>-37.48451</v>
      </c>
      <c r="BS205" s="475">
        <v>-576.56583999999998</v>
      </c>
      <c r="BT205" s="278">
        <v>0</v>
      </c>
      <c r="BU205" s="278">
        <v>37.542000000000002</v>
      </c>
      <c r="BV205" s="345">
        <v>2830.31943</v>
      </c>
      <c r="BX205" s="278">
        <v>400</v>
      </c>
      <c r="BY205" s="483">
        <v>-14.4</v>
      </c>
      <c r="BZ205" s="483">
        <v>-1175</v>
      </c>
      <c r="CA205" s="260"/>
      <c r="CB205" s="347">
        <v>9.1</v>
      </c>
      <c r="CC205" s="486">
        <f t="shared" si="3"/>
        <v>9.1</v>
      </c>
      <c r="CD205" s="287"/>
      <c r="CE205" s="278"/>
      <c r="CF205" s="268"/>
      <c r="CI205" s="158">
        <v>0</v>
      </c>
      <c r="CJ205" s="343">
        <v>946.42532427528488</v>
      </c>
      <c r="CK205" s="343">
        <v>1236.7225606056581</v>
      </c>
      <c r="CL205" s="343">
        <v>1230.1324611501441</v>
      </c>
      <c r="CM205" s="487">
        <v>1235.5806565044563</v>
      </c>
      <c r="CN205" s="487">
        <v>1483.9166986268106</v>
      </c>
      <c r="CO205" s="495">
        <v>-528.44500000000005</v>
      </c>
      <c r="CP205" s="299"/>
      <c r="CQ205" s="489">
        <v>0</v>
      </c>
      <c r="CR205" s="489">
        <v>0</v>
      </c>
    </row>
    <row r="206" spans="1:96" x14ac:dyDescent="0.2">
      <c r="A206" s="154">
        <v>635</v>
      </c>
      <c r="B206" s="156" t="s">
        <v>232</v>
      </c>
      <c r="C206" s="337">
        <v>6347</v>
      </c>
      <c r="D206" s="276">
        <v>21.5</v>
      </c>
      <c r="E206" s="185"/>
      <c r="G206" s="278">
        <v>5373.5411199999999</v>
      </c>
      <c r="H206" s="278">
        <v>47511.58397</v>
      </c>
      <c r="I206" s="278"/>
      <c r="J206" s="278">
        <v>21931.96009</v>
      </c>
      <c r="K206" s="278">
        <v>2051.1186000000002</v>
      </c>
      <c r="L206" s="278">
        <v>2522.0459999999998</v>
      </c>
      <c r="M206" s="278">
        <v>26505.124690000001</v>
      </c>
      <c r="N206" s="278">
        <v>18708.748</v>
      </c>
      <c r="O206" s="278">
        <v>9.3901200000000014</v>
      </c>
      <c r="P206" s="278">
        <v>95.226789999999994</v>
      </c>
      <c r="Q206" s="278">
        <v>181.14876999999998</v>
      </c>
      <c r="R206" s="278">
        <v>18.545570000000001</v>
      </c>
      <c r="S206" s="278">
        <v>3152.5963700000002</v>
      </c>
      <c r="U206" s="278">
        <v>2643.9865299999997</v>
      </c>
      <c r="V206" s="278">
        <v>5.9677899999999999</v>
      </c>
      <c r="W206" s="278">
        <v>0</v>
      </c>
      <c r="X206" s="278">
        <v>514.57763</v>
      </c>
      <c r="Y206" s="278">
        <v>-407.0487</v>
      </c>
      <c r="Z206" s="278">
        <v>0</v>
      </c>
      <c r="AA206" s="278">
        <v>0</v>
      </c>
      <c r="AB206" s="278">
        <v>921.62632999999994</v>
      </c>
      <c r="AD206" s="278">
        <v>14861.35636</v>
      </c>
      <c r="AE206" s="157">
        <v>3176.49</v>
      </c>
      <c r="AF206" s="184">
        <v>17.925840000000001</v>
      </c>
      <c r="AG206" s="278">
        <v>-918.99396999999999</v>
      </c>
      <c r="AH206" s="278">
        <v>0</v>
      </c>
      <c r="AI206" s="184">
        <v>369.73308000000003</v>
      </c>
      <c r="AJ206" s="278">
        <v>8681.3623599999992</v>
      </c>
      <c r="AL206" s="278">
        <v>7732.8719299999993</v>
      </c>
      <c r="AM206" s="184">
        <v>-8.3790300000000002</v>
      </c>
      <c r="AN206" s="278">
        <v>-897.43583999999998</v>
      </c>
      <c r="AO206" s="355">
        <v>6337</v>
      </c>
      <c r="AP206" s="344">
        <v>8.86</v>
      </c>
      <c r="AQ206" s="462"/>
      <c r="AS206" s="469">
        <v>5356.9317199999996</v>
      </c>
      <c r="AT206" s="278">
        <v>20616.120039999998</v>
      </c>
      <c r="AU206" s="464"/>
      <c r="AV206" s="346">
        <v>11090.58526</v>
      </c>
      <c r="AW206" s="346">
        <v>1300.5191200000002</v>
      </c>
      <c r="AX206" s="346">
        <v>2549.9588399999998</v>
      </c>
      <c r="AY206" s="346">
        <v>14941.06322</v>
      </c>
      <c r="AZ206" s="346">
        <v>4171.567</v>
      </c>
      <c r="BA206" s="278">
        <v>272.40755000000001</v>
      </c>
      <c r="BB206" s="345">
        <v>93.749560000000002</v>
      </c>
      <c r="BC206" s="278">
        <v>90.23008999999999</v>
      </c>
      <c r="BD206" s="278">
        <v>88.278960000000012</v>
      </c>
      <c r="BE206" s="346">
        <v>4034.0510199999999</v>
      </c>
      <c r="BG206" s="343">
        <v>2585.6924800000002</v>
      </c>
      <c r="BH206" s="343">
        <v>0</v>
      </c>
      <c r="BI206" s="343">
        <v>0</v>
      </c>
      <c r="BJ206" s="346">
        <v>1448.3585399999999</v>
      </c>
      <c r="BK206" s="346">
        <v>-315.75207</v>
      </c>
      <c r="BL206" s="346">
        <v>0</v>
      </c>
      <c r="BM206" s="343">
        <v>0</v>
      </c>
      <c r="BN206" s="346">
        <v>1764.1106100000002</v>
      </c>
      <c r="BP206" s="346">
        <v>16625.466970000001</v>
      </c>
      <c r="BQ206" s="318">
        <v>3854.8550099999998</v>
      </c>
      <c r="BR206" s="278">
        <v>-179.19601</v>
      </c>
      <c r="BS206" s="475">
        <v>-3112.2496900000001</v>
      </c>
      <c r="BT206" s="278">
        <v>0</v>
      </c>
      <c r="BU206" s="278">
        <v>416.93828000000002</v>
      </c>
      <c r="BV206" s="345">
        <v>4339.2464</v>
      </c>
      <c r="BX206" s="278">
        <v>6836.4226499999995</v>
      </c>
      <c r="BY206" s="483">
        <v>-3447.6017200000001</v>
      </c>
      <c r="BZ206" s="483">
        <v>-896.44928000000004</v>
      </c>
      <c r="CA206" s="260"/>
      <c r="CB206" s="347">
        <v>8.9</v>
      </c>
      <c r="CC206" s="486">
        <f t="shared" si="3"/>
        <v>8.9</v>
      </c>
      <c r="CD206" s="287"/>
      <c r="CE206" s="278"/>
      <c r="CF206" s="268"/>
      <c r="CI206" s="158">
        <v>0</v>
      </c>
      <c r="CJ206" s="343">
        <v>3634.4326935486552</v>
      </c>
      <c r="CK206" s="343">
        <v>3983.7829639866204</v>
      </c>
      <c r="CL206" s="343">
        <v>3837.4419363149864</v>
      </c>
      <c r="CM206" s="487">
        <v>3818.1780369331454</v>
      </c>
      <c r="CN206" s="487">
        <v>4364.0554530359541</v>
      </c>
      <c r="CO206" s="495">
        <v>-564.73800000000006</v>
      </c>
      <c r="CP206" s="299"/>
      <c r="CQ206" s="489">
        <v>0</v>
      </c>
      <c r="CR206" s="489">
        <v>0</v>
      </c>
    </row>
    <row r="207" spans="1:96" x14ac:dyDescent="0.2">
      <c r="A207" s="154">
        <v>636</v>
      </c>
      <c r="B207" s="156" t="s">
        <v>233</v>
      </c>
      <c r="C207" s="337">
        <v>8154</v>
      </c>
      <c r="D207" s="276">
        <v>21.25</v>
      </c>
      <c r="E207" s="185"/>
      <c r="G207" s="278">
        <v>7654.1204200000002</v>
      </c>
      <c r="H207" s="278">
        <v>58909.981350000002</v>
      </c>
      <c r="I207" s="278"/>
      <c r="J207" s="278">
        <v>26517.615180000001</v>
      </c>
      <c r="K207" s="278">
        <v>3549.9813799999997</v>
      </c>
      <c r="L207" s="278">
        <v>2236.4192699999999</v>
      </c>
      <c r="M207" s="278">
        <v>32304.015829999997</v>
      </c>
      <c r="N207" s="278">
        <v>23281.190999999999</v>
      </c>
      <c r="O207" s="278">
        <v>17.115560000000002</v>
      </c>
      <c r="P207" s="278">
        <v>112.92663</v>
      </c>
      <c r="Q207" s="278">
        <v>192.97307999999998</v>
      </c>
      <c r="R207" s="278">
        <v>45.932730000000006</v>
      </c>
      <c r="S207" s="278">
        <v>4380.5751799999998</v>
      </c>
      <c r="U207" s="278">
        <v>2875.4739</v>
      </c>
      <c r="V207" s="278">
        <v>0</v>
      </c>
      <c r="W207" s="278">
        <v>0</v>
      </c>
      <c r="X207" s="278">
        <v>1505.1012800000001</v>
      </c>
      <c r="Y207" s="278">
        <v>-76.037120000000002</v>
      </c>
      <c r="Z207" s="278">
        <v>0</v>
      </c>
      <c r="AA207" s="278">
        <v>0</v>
      </c>
      <c r="AB207" s="278">
        <v>1581.1383999999998</v>
      </c>
      <c r="AD207" s="278">
        <v>6774.4614700000011</v>
      </c>
      <c r="AE207" s="157">
        <v>4406.4370199999994</v>
      </c>
      <c r="AF207" s="184">
        <v>25.861840000000001</v>
      </c>
      <c r="AG207" s="278">
        <v>-2720.00794</v>
      </c>
      <c r="AH207" s="278">
        <v>18.54</v>
      </c>
      <c r="AI207" s="184">
        <v>22.271999999999998</v>
      </c>
      <c r="AJ207" s="278">
        <v>5804.3674299999993</v>
      </c>
      <c r="AL207" s="278">
        <v>13180.0895</v>
      </c>
      <c r="AM207" s="184">
        <v>43.8</v>
      </c>
      <c r="AN207" s="278">
        <v>-1699.41851</v>
      </c>
      <c r="AO207" s="355">
        <v>8130</v>
      </c>
      <c r="AP207" s="344">
        <v>8.61</v>
      </c>
      <c r="AQ207" s="462"/>
      <c r="AS207" s="469">
        <v>7927.0467699999999</v>
      </c>
      <c r="AT207" s="278">
        <v>28651.128820000002</v>
      </c>
      <c r="AU207" s="464"/>
      <c r="AV207" s="346">
        <v>12644.860460000002</v>
      </c>
      <c r="AW207" s="346">
        <v>2353.43046</v>
      </c>
      <c r="AX207" s="346">
        <v>2206.56448</v>
      </c>
      <c r="AY207" s="346">
        <v>17204.855399999997</v>
      </c>
      <c r="AZ207" s="346">
        <v>8288.2759999999998</v>
      </c>
      <c r="BA207" s="278">
        <v>231.41370000000001</v>
      </c>
      <c r="BB207" s="345">
        <v>53.218199999999996</v>
      </c>
      <c r="BC207" s="278">
        <v>33.709540000000004</v>
      </c>
      <c r="BD207" s="278">
        <v>110.22378</v>
      </c>
      <c r="BE207" s="346">
        <v>4870.7306100000005</v>
      </c>
      <c r="BG207" s="343">
        <v>3286.0430899999997</v>
      </c>
      <c r="BH207" s="343">
        <v>672.00977</v>
      </c>
      <c r="BI207" s="346">
        <v>0</v>
      </c>
      <c r="BJ207" s="346">
        <v>2256.6972900000001</v>
      </c>
      <c r="BK207" s="343">
        <v>-75.62809</v>
      </c>
      <c r="BL207" s="343">
        <v>0</v>
      </c>
      <c r="BM207" s="343">
        <v>0</v>
      </c>
      <c r="BN207" s="346">
        <v>2332.3253799999998</v>
      </c>
      <c r="BP207" s="346">
        <v>9106.7868500000004</v>
      </c>
      <c r="BQ207" s="318">
        <v>5336.3509899999999</v>
      </c>
      <c r="BR207" s="278">
        <v>-206.38939000000002</v>
      </c>
      <c r="BS207" s="475">
        <v>-2235.9944500000001</v>
      </c>
      <c r="BT207" s="278">
        <v>0</v>
      </c>
      <c r="BU207" s="278">
        <v>2378.1631200000002</v>
      </c>
      <c r="BV207" s="345">
        <v>7881.7234200000003</v>
      </c>
      <c r="BX207" s="278">
        <v>10904.122299999999</v>
      </c>
      <c r="BY207" s="483">
        <v>40</v>
      </c>
      <c r="BZ207" s="483">
        <v>-2275.9672</v>
      </c>
      <c r="CA207" s="260"/>
      <c r="CB207" s="347">
        <v>8.6</v>
      </c>
      <c r="CC207" s="486">
        <f t="shared" si="3"/>
        <v>8.6</v>
      </c>
      <c r="CD207" s="287"/>
      <c r="CE207" s="278"/>
      <c r="CF207" s="268"/>
      <c r="CI207" s="158">
        <v>0</v>
      </c>
      <c r="CJ207" s="343">
        <v>9392.1962954812298</v>
      </c>
      <c r="CK207" s="343">
        <v>9398.7975472966318</v>
      </c>
      <c r="CL207" s="343">
        <v>8824.7583459748712</v>
      </c>
      <c r="CM207" s="487">
        <v>8903.7221199834403</v>
      </c>
      <c r="CN207" s="487">
        <v>9440.2696950099253</v>
      </c>
      <c r="CO207" s="495">
        <v>-689.85199999999998</v>
      </c>
      <c r="CP207" s="299"/>
      <c r="CQ207" s="489">
        <v>0</v>
      </c>
      <c r="CR207" s="489">
        <v>0</v>
      </c>
    </row>
    <row r="208" spans="1:96" x14ac:dyDescent="0.2">
      <c r="A208" s="154">
        <v>678</v>
      </c>
      <c r="B208" s="156" t="s">
        <v>234</v>
      </c>
      <c r="C208" s="337">
        <v>24073</v>
      </c>
      <c r="D208" s="276">
        <v>21.25</v>
      </c>
      <c r="E208" s="185"/>
      <c r="G208" s="278">
        <v>16368.63546</v>
      </c>
      <c r="H208" s="278">
        <v>189410.66728999998</v>
      </c>
      <c r="I208" s="278"/>
      <c r="J208" s="278">
        <v>91522.798379999993</v>
      </c>
      <c r="K208" s="278">
        <v>6607.9148099999993</v>
      </c>
      <c r="L208" s="278">
        <v>7301.1849000000002</v>
      </c>
      <c r="M208" s="278">
        <v>105431.89809</v>
      </c>
      <c r="N208" s="278">
        <v>70087.236000000004</v>
      </c>
      <c r="O208" s="278">
        <v>1186.8951000000002</v>
      </c>
      <c r="P208" s="278">
        <v>1591.6455600000002</v>
      </c>
      <c r="Q208" s="278">
        <v>2959.4299300000002</v>
      </c>
      <c r="R208" s="278">
        <v>2726.0859300000002</v>
      </c>
      <c r="S208" s="278">
        <v>2758.9128900000001</v>
      </c>
      <c r="U208" s="278">
        <v>8304.9734499999995</v>
      </c>
      <c r="V208" s="278">
        <v>0</v>
      </c>
      <c r="W208" s="278">
        <v>0</v>
      </c>
      <c r="X208" s="278">
        <v>-5546.0605599999999</v>
      </c>
      <c r="Y208" s="278">
        <v>0</v>
      </c>
      <c r="Z208" s="278">
        <v>0</v>
      </c>
      <c r="AA208" s="278">
        <v>0</v>
      </c>
      <c r="AB208" s="278">
        <v>-5546.0605599999999</v>
      </c>
      <c r="AD208" s="278">
        <v>14832.864930000002</v>
      </c>
      <c r="AE208" s="157">
        <v>2536.17488</v>
      </c>
      <c r="AF208" s="184">
        <v>-222.73796999999999</v>
      </c>
      <c r="AG208" s="278">
        <v>-6794.9143300000005</v>
      </c>
      <c r="AH208" s="278">
        <v>111.59202000000001</v>
      </c>
      <c r="AI208" s="184">
        <v>269.41854999999998</v>
      </c>
      <c r="AJ208" s="278">
        <v>50693.902250000006</v>
      </c>
      <c r="AL208" s="278">
        <v>165374.51180000001</v>
      </c>
      <c r="AM208" s="184">
        <v>1068.65822</v>
      </c>
      <c r="AN208" s="278">
        <v>-2839.21396</v>
      </c>
      <c r="AO208" s="355">
        <v>23797</v>
      </c>
      <c r="AP208" s="344">
        <v>8.6099999999999977</v>
      </c>
      <c r="AQ208" s="462"/>
      <c r="AS208" s="469">
        <v>14645.42261</v>
      </c>
      <c r="AT208" s="278">
        <v>84499.284579999992</v>
      </c>
      <c r="AU208" s="464"/>
      <c r="AV208" s="346">
        <v>47588.212920000005</v>
      </c>
      <c r="AW208" s="346">
        <v>9878.2944000000007</v>
      </c>
      <c r="AX208" s="346">
        <v>8339.0048399999996</v>
      </c>
      <c r="AY208" s="346">
        <v>65805.512159999998</v>
      </c>
      <c r="AZ208" s="346">
        <v>24842.418000000001</v>
      </c>
      <c r="BA208" s="278">
        <v>1384.3307399999999</v>
      </c>
      <c r="BB208" s="345">
        <v>3789.7086600000002</v>
      </c>
      <c r="BC208" s="278">
        <v>4704.4294600000003</v>
      </c>
      <c r="BD208" s="278">
        <v>473.85341</v>
      </c>
      <c r="BE208" s="346">
        <v>23126.006219999999</v>
      </c>
      <c r="BG208" s="343">
        <v>8153.4469200000003</v>
      </c>
      <c r="BH208" s="346">
        <v>0</v>
      </c>
      <c r="BI208" s="346">
        <v>4889.2393000000002</v>
      </c>
      <c r="BJ208" s="346">
        <v>10083.32</v>
      </c>
      <c r="BK208" s="346">
        <v>0</v>
      </c>
      <c r="BL208" s="343">
        <v>0</v>
      </c>
      <c r="BM208" s="343">
        <v>0</v>
      </c>
      <c r="BN208" s="346">
        <v>10083.32</v>
      </c>
      <c r="BP208" s="346">
        <v>25211.995190000001</v>
      </c>
      <c r="BQ208" s="318">
        <v>22670.934670000002</v>
      </c>
      <c r="BR208" s="278">
        <v>4434.1673300000002</v>
      </c>
      <c r="BS208" s="475">
        <v>-8298.0276900000008</v>
      </c>
      <c r="BT208" s="278">
        <v>60.499449999999996</v>
      </c>
      <c r="BU208" s="278">
        <v>3636.24017</v>
      </c>
      <c r="BV208" s="345">
        <v>51704.668180000001</v>
      </c>
      <c r="BX208" s="278">
        <v>156805.35313999999</v>
      </c>
      <c r="BY208" s="483">
        <v>-323.20420000000001</v>
      </c>
      <c r="BZ208" s="483">
        <v>-8569.158660000001</v>
      </c>
      <c r="CA208" s="260"/>
      <c r="CB208" s="347">
        <v>8.7999999999999989</v>
      </c>
      <c r="CC208" s="486">
        <f t="shared" si="3"/>
        <v>8.7999999999999989</v>
      </c>
      <c r="CD208" s="287"/>
      <c r="CE208" s="278"/>
      <c r="CF208" s="268"/>
      <c r="CG208" s="266"/>
      <c r="CI208" s="158">
        <v>2000</v>
      </c>
      <c r="CJ208" s="343">
        <v>22814.372107841598</v>
      </c>
      <c r="CK208" s="343">
        <v>18121.117814184985</v>
      </c>
      <c r="CL208" s="343">
        <v>16241.149910041426</v>
      </c>
      <c r="CM208" s="487">
        <v>16336.345739666576</v>
      </c>
      <c r="CN208" s="487">
        <v>16952.827529331636</v>
      </c>
      <c r="CO208" s="495">
        <v>-725.26700000000005</v>
      </c>
      <c r="CP208" s="299"/>
      <c r="CQ208" s="489">
        <v>453.21709000000004</v>
      </c>
      <c r="CR208" s="489">
        <v>506.73990000000003</v>
      </c>
    </row>
    <row r="209" spans="1:96" x14ac:dyDescent="0.2">
      <c r="A209" s="154">
        <v>710</v>
      </c>
      <c r="B209" s="156" t="s">
        <v>351</v>
      </c>
      <c r="C209" s="337">
        <v>27306</v>
      </c>
      <c r="D209" s="276">
        <v>22</v>
      </c>
      <c r="E209" s="185"/>
      <c r="G209" s="278">
        <v>33418.373780000002</v>
      </c>
      <c r="H209" s="278">
        <v>221963.75877000001</v>
      </c>
      <c r="I209" s="278"/>
      <c r="J209" s="278">
        <v>109001.17484000001</v>
      </c>
      <c r="K209" s="278">
        <v>6194.8815700000005</v>
      </c>
      <c r="L209" s="278">
        <v>11850.58468</v>
      </c>
      <c r="M209" s="278">
        <v>127046.64109</v>
      </c>
      <c r="N209" s="278">
        <v>71525.009000000005</v>
      </c>
      <c r="O209" s="278">
        <v>1535.0327</v>
      </c>
      <c r="P209" s="278">
        <v>746.72395999999992</v>
      </c>
      <c r="Q209" s="278">
        <v>424.82860999999997</v>
      </c>
      <c r="R209" s="278">
        <v>5.4545900000000005</v>
      </c>
      <c r="S209" s="278">
        <v>11604.897499999999</v>
      </c>
      <c r="U209" s="278">
        <v>7936.9218200000005</v>
      </c>
      <c r="V209" s="278">
        <v>0</v>
      </c>
      <c r="W209" s="278">
        <v>0</v>
      </c>
      <c r="X209" s="278">
        <v>3667.97568</v>
      </c>
      <c r="Y209" s="278">
        <v>0</v>
      </c>
      <c r="Z209" s="278">
        <v>0</v>
      </c>
      <c r="AA209" s="278">
        <v>0</v>
      </c>
      <c r="AB209" s="278">
        <v>3667.97568</v>
      </c>
      <c r="AD209" s="278">
        <v>10081.064710000001</v>
      </c>
      <c r="AE209" s="157">
        <v>10392.672339999999</v>
      </c>
      <c r="AF209" s="184">
        <v>-1212.22516</v>
      </c>
      <c r="AG209" s="278">
        <v>-13535.3344</v>
      </c>
      <c r="AH209" s="278">
        <v>849.15</v>
      </c>
      <c r="AI209" s="184">
        <v>1437.44748</v>
      </c>
      <c r="AJ209" s="278">
        <v>14774.012549999999</v>
      </c>
      <c r="AL209" s="278">
        <v>108358.20904</v>
      </c>
      <c r="AM209" s="184">
        <v>-25.347999999999999</v>
      </c>
      <c r="AN209" s="278">
        <v>-3542.6984400000001</v>
      </c>
      <c r="AO209" s="355">
        <v>27209</v>
      </c>
      <c r="AP209" s="344">
        <v>9.36</v>
      </c>
      <c r="AQ209" s="462"/>
      <c r="AS209" s="469">
        <v>23471.214329999999</v>
      </c>
      <c r="AT209" s="278">
        <v>100820.17881999999</v>
      </c>
      <c r="AU209" s="464"/>
      <c r="AV209" s="346">
        <v>57333.02074</v>
      </c>
      <c r="AW209" s="346">
        <v>4224.4531299999999</v>
      </c>
      <c r="AX209" s="346">
        <v>12339.25267</v>
      </c>
      <c r="AY209" s="346">
        <v>73896.726540000003</v>
      </c>
      <c r="AZ209" s="346">
        <v>21310.447</v>
      </c>
      <c r="BA209" s="278">
        <v>1581.9422199999999</v>
      </c>
      <c r="BB209" s="345">
        <v>-74.787469999999999</v>
      </c>
      <c r="BC209" s="278">
        <v>290.00574999999998</v>
      </c>
      <c r="BD209" s="278">
        <v>16.064719999999998</v>
      </c>
      <c r="BE209" s="346">
        <v>20096.592929999999</v>
      </c>
      <c r="BG209" s="343">
        <v>7796.0155000000004</v>
      </c>
      <c r="BH209" s="343">
        <v>0</v>
      </c>
      <c r="BI209" s="343">
        <v>0</v>
      </c>
      <c r="BJ209" s="346">
        <v>12300.577429999999</v>
      </c>
      <c r="BK209" s="343">
        <v>0</v>
      </c>
      <c r="BL209" s="343">
        <v>0</v>
      </c>
      <c r="BM209" s="343">
        <v>0</v>
      </c>
      <c r="BN209" s="346">
        <v>12300.577429999999</v>
      </c>
      <c r="BP209" s="346">
        <v>22381.64214</v>
      </c>
      <c r="BQ209" s="318">
        <v>19585.023960000002</v>
      </c>
      <c r="BR209" s="278">
        <v>-511.56896999999998</v>
      </c>
      <c r="BS209" s="475">
        <v>-13778.10853</v>
      </c>
      <c r="BT209" s="278">
        <v>485.85904999999997</v>
      </c>
      <c r="BU209" s="278">
        <v>650.28595999999993</v>
      </c>
      <c r="BV209" s="345">
        <v>6441.2283399999997</v>
      </c>
      <c r="BX209" s="278">
        <v>98790.502819999994</v>
      </c>
      <c r="BY209" s="483">
        <v>6.1319999999999997</v>
      </c>
      <c r="BZ209" s="483">
        <v>-9567.70622</v>
      </c>
      <c r="CA209" s="260"/>
      <c r="CB209" s="347">
        <v>9.3000000000000007</v>
      </c>
      <c r="CC209" s="486">
        <f t="shared" si="3"/>
        <v>9.3000000000000007</v>
      </c>
      <c r="CD209" s="287"/>
      <c r="CE209" s="278"/>
      <c r="CF209" s="268"/>
      <c r="CG209" s="266"/>
      <c r="CI209" s="158">
        <v>0</v>
      </c>
      <c r="CJ209" s="343">
        <v>18403.294284375032</v>
      </c>
      <c r="CK209" s="343">
        <v>19188.555371349208</v>
      </c>
      <c r="CL209" s="343">
        <v>19070.573247914446</v>
      </c>
      <c r="CM209" s="487">
        <v>19290.004306219558</v>
      </c>
      <c r="CN209" s="487">
        <v>21066.718889496711</v>
      </c>
      <c r="CO209" s="495">
        <v>-695.34100000000001</v>
      </c>
      <c r="CP209" s="299"/>
      <c r="CQ209" s="489">
        <v>370.94963999999999</v>
      </c>
      <c r="CR209" s="489">
        <v>307.71315999999996</v>
      </c>
    </row>
    <row r="210" spans="1:96" x14ac:dyDescent="0.2">
      <c r="A210" s="154">
        <v>680</v>
      </c>
      <c r="B210" s="156" t="s">
        <v>235</v>
      </c>
      <c r="C210" s="337">
        <v>24942</v>
      </c>
      <c r="D210" s="276">
        <v>20.25</v>
      </c>
      <c r="E210" s="185"/>
      <c r="G210" s="278">
        <v>46193.300840000004</v>
      </c>
      <c r="H210" s="278">
        <v>189459.78362</v>
      </c>
      <c r="I210" s="278"/>
      <c r="J210" s="278">
        <v>99907.662859999997</v>
      </c>
      <c r="K210" s="278">
        <v>9754.2532599999995</v>
      </c>
      <c r="L210" s="278">
        <v>7958.5626099999999</v>
      </c>
      <c r="M210" s="278">
        <v>117620.47873</v>
      </c>
      <c r="N210" s="278">
        <v>39359.035000000003</v>
      </c>
      <c r="O210" s="278">
        <v>406.68996999999996</v>
      </c>
      <c r="P210" s="278">
        <v>597.54133999999999</v>
      </c>
      <c r="Q210" s="278">
        <v>233.90054000000001</v>
      </c>
      <c r="R210" s="278">
        <v>18.55789</v>
      </c>
      <c r="S210" s="278">
        <v>13737.52223</v>
      </c>
      <c r="U210" s="278">
        <v>8170.5449699999999</v>
      </c>
      <c r="V210" s="278">
        <v>0</v>
      </c>
      <c r="W210" s="278">
        <v>0</v>
      </c>
      <c r="X210" s="278">
        <v>5566.9772599999997</v>
      </c>
      <c r="Y210" s="278">
        <v>-0.20251</v>
      </c>
      <c r="Z210" s="278">
        <v>3235</v>
      </c>
      <c r="AA210" s="278">
        <v>0</v>
      </c>
      <c r="AB210" s="278">
        <v>2332.1797700000002</v>
      </c>
      <c r="AD210" s="278">
        <v>23930.278579999998</v>
      </c>
      <c r="AE210" s="157">
        <v>11640.51103</v>
      </c>
      <c r="AF210" s="184">
        <v>-2097.0111999999999</v>
      </c>
      <c r="AG210" s="278">
        <v>-10439.528259999999</v>
      </c>
      <c r="AH210" s="278">
        <v>577.85900000000004</v>
      </c>
      <c r="AI210" s="184">
        <v>2359.2537000000002</v>
      </c>
      <c r="AJ210" s="278">
        <v>7768.2339199999997</v>
      </c>
      <c r="AL210" s="278">
        <v>41929.082240000003</v>
      </c>
      <c r="AM210" s="184">
        <v>0</v>
      </c>
      <c r="AN210" s="278">
        <v>-7996.5596799999994</v>
      </c>
      <c r="AO210" s="355">
        <v>25331</v>
      </c>
      <c r="AP210" s="344">
        <v>7.61</v>
      </c>
      <c r="AQ210" s="462"/>
      <c r="AS210" s="469">
        <v>18675.503989999997</v>
      </c>
      <c r="AT210" s="278">
        <v>77732.793930000014</v>
      </c>
      <c r="AU210" s="464"/>
      <c r="AV210" s="346">
        <v>49084.594429999997</v>
      </c>
      <c r="AW210" s="346">
        <v>6914.9512599999998</v>
      </c>
      <c r="AX210" s="346">
        <v>8572.4597699999995</v>
      </c>
      <c r="AY210" s="346">
        <v>64572.00546</v>
      </c>
      <c r="AZ210" s="346">
        <v>14130.052</v>
      </c>
      <c r="BA210" s="278">
        <v>1447.7864399999999</v>
      </c>
      <c r="BB210" s="345">
        <v>1226.77593</v>
      </c>
      <c r="BC210" s="278">
        <v>159.08142999999998</v>
      </c>
      <c r="BD210" s="278">
        <v>16.985130000000002</v>
      </c>
      <c r="BE210" s="346">
        <v>20007.874329999999</v>
      </c>
      <c r="BG210" s="343">
        <v>11160.562599999999</v>
      </c>
      <c r="BH210" s="346">
        <v>0</v>
      </c>
      <c r="BI210" s="346">
        <v>0</v>
      </c>
      <c r="BJ210" s="346">
        <v>8847.3117300000013</v>
      </c>
      <c r="BK210" s="346">
        <v>-0.20251</v>
      </c>
      <c r="BL210" s="346">
        <v>8800</v>
      </c>
      <c r="BM210" s="343">
        <v>0</v>
      </c>
      <c r="BN210" s="346">
        <v>47.514240000000001</v>
      </c>
      <c r="BP210" s="346">
        <v>23977.792819999999</v>
      </c>
      <c r="BQ210" s="318">
        <v>19273.299079999997</v>
      </c>
      <c r="BR210" s="278">
        <v>-734.57524999999998</v>
      </c>
      <c r="BS210" s="475">
        <v>-25608.64429</v>
      </c>
      <c r="BT210" s="278">
        <v>370.15564000000001</v>
      </c>
      <c r="BU210" s="278">
        <v>1411.1556699999999</v>
      </c>
      <c r="BV210" s="345">
        <v>6940.7633499999993</v>
      </c>
      <c r="BX210" s="278">
        <v>49737.284939999998</v>
      </c>
      <c r="BY210" s="483">
        <v>0</v>
      </c>
      <c r="BZ210" s="483">
        <v>7808.2026999999998</v>
      </c>
      <c r="CA210" s="260"/>
      <c r="CB210" s="347">
        <v>7.6</v>
      </c>
      <c r="CC210" s="486">
        <f t="shared" si="3"/>
        <v>7.6</v>
      </c>
      <c r="CD210" s="287"/>
      <c r="CE210" s="278"/>
      <c r="CF210" s="268"/>
      <c r="CI210" s="158">
        <v>0</v>
      </c>
      <c r="CJ210" s="343">
        <v>13892.033839004562</v>
      </c>
      <c r="CK210" s="343">
        <v>16010.415693815685</v>
      </c>
      <c r="CL210" s="343">
        <v>17029.583775084098</v>
      </c>
      <c r="CM210" s="487">
        <v>17451.878673686169</v>
      </c>
      <c r="CN210" s="487">
        <v>18552.050901956416</v>
      </c>
      <c r="CO210" s="495">
        <v>472.87799999999999</v>
      </c>
      <c r="CP210" s="299"/>
      <c r="CQ210" s="489">
        <v>0</v>
      </c>
      <c r="CR210" s="489">
        <v>0</v>
      </c>
    </row>
    <row r="211" spans="1:96" x14ac:dyDescent="0.2">
      <c r="A211" s="154">
        <v>681</v>
      </c>
      <c r="B211" s="156" t="s">
        <v>236</v>
      </c>
      <c r="C211" s="337">
        <v>3308</v>
      </c>
      <c r="D211" s="276">
        <v>22</v>
      </c>
      <c r="E211" s="185"/>
      <c r="G211" s="278">
        <v>4957.57546</v>
      </c>
      <c r="H211" s="278">
        <v>28988.921879999998</v>
      </c>
      <c r="I211" s="278"/>
      <c r="J211" s="278">
        <v>10000.62226</v>
      </c>
      <c r="K211" s="278">
        <v>1977.71741</v>
      </c>
      <c r="L211" s="278">
        <v>1401.24108</v>
      </c>
      <c r="M211" s="278">
        <v>13379.580749999999</v>
      </c>
      <c r="N211" s="278">
        <v>12437.93</v>
      </c>
      <c r="O211" s="278">
        <v>11.303040000000001</v>
      </c>
      <c r="P211" s="278">
        <v>64.857259999999997</v>
      </c>
      <c r="Q211" s="278">
        <v>354.19835</v>
      </c>
      <c r="R211" s="278">
        <v>1.74404</v>
      </c>
      <c r="S211" s="278">
        <v>2085.0644199999997</v>
      </c>
      <c r="U211" s="278">
        <v>1077.01259</v>
      </c>
      <c r="V211" s="278">
        <v>0</v>
      </c>
      <c r="W211" s="278">
        <v>0</v>
      </c>
      <c r="X211" s="278">
        <v>1008.05183</v>
      </c>
      <c r="Y211" s="278">
        <v>0</v>
      </c>
      <c r="Z211" s="278">
        <v>0</v>
      </c>
      <c r="AA211" s="278">
        <v>0</v>
      </c>
      <c r="AB211" s="278">
        <v>1008.05183</v>
      </c>
      <c r="AD211" s="278">
        <v>3271.8493599999997</v>
      </c>
      <c r="AE211" s="157">
        <v>1806.30295</v>
      </c>
      <c r="AF211" s="184">
        <v>-278.76146999999997</v>
      </c>
      <c r="AG211" s="278">
        <v>-1386.11878</v>
      </c>
      <c r="AH211" s="278">
        <v>0</v>
      </c>
      <c r="AI211" s="184">
        <v>388.16</v>
      </c>
      <c r="AJ211" s="278">
        <v>1084.02431</v>
      </c>
      <c r="AL211" s="278">
        <v>5714.8651999999993</v>
      </c>
      <c r="AM211" s="184">
        <v>21.66</v>
      </c>
      <c r="AN211" s="278">
        <v>-1044.5250799999999</v>
      </c>
      <c r="AO211" s="355">
        <v>3297</v>
      </c>
      <c r="AP211" s="344">
        <v>9.36</v>
      </c>
      <c r="AQ211" s="462"/>
      <c r="AS211" s="469">
        <v>3731.7016800000001</v>
      </c>
      <c r="AT211" s="278">
        <v>12842.7515</v>
      </c>
      <c r="AU211" s="464"/>
      <c r="AV211" s="346">
        <v>5281.1960199999994</v>
      </c>
      <c r="AW211" s="346">
        <v>1239.17497</v>
      </c>
      <c r="AX211" s="346">
        <v>1433.62653</v>
      </c>
      <c r="AY211" s="346">
        <v>7953.9975199999999</v>
      </c>
      <c r="AZ211" s="346">
        <v>2628.4110000000001</v>
      </c>
      <c r="BA211" s="278">
        <v>17.145869999999999</v>
      </c>
      <c r="BB211" s="345">
        <v>85.59796</v>
      </c>
      <c r="BC211" s="278">
        <v>327.68402000000003</v>
      </c>
      <c r="BD211" s="278">
        <v>4.5189899999999996</v>
      </c>
      <c r="BE211" s="346">
        <v>1726.0716399999999</v>
      </c>
      <c r="BG211" s="343">
        <v>1587.7548200000001</v>
      </c>
      <c r="BH211" s="346">
        <v>0</v>
      </c>
      <c r="BI211" s="346">
        <v>0</v>
      </c>
      <c r="BJ211" s="346">
        <v>138.31682000000001</v>
      </c>
      <c r="BK211" s="346">
        <v>0</v>
      </c>
      <c r="BL211" s="343">
        <v>0</v>
      </c>
      <c r="BM211" s="346">
        <v>0</v>
      </c>
      <c r="BN211" s="346">
        <v>138.31682000000001</v>
      </c>
      <c r="BP211" s="346">
        <v>3410.1661799999997</v>
      </c>
      <c r="BQ211" s="318">
        <v>1697.7452599999999</v>
      </c>
      <c r="BR211" s="278">
        <v>0</v>
      </c>
      <c r="BS211" s="475">
        <v>-2382.3947599999997</v>
      </c>
      <c r="BT211" s="278">
        <v>64.601699999999994</v>
      </c>
      <c r="BU211" s="278">
        <v>80.7</v>
      </c>
      <c r="BV211" s="345">
        <v>926.17207999999994</v>
      </c>
      <c r="BX211" s="278">
        <v>6443.2881200000002</v>
      </c>
      <c r="BY211" s="483">
        <v>18.41818</v>
      </c>
      <c r="BZ211" s="483">
        <v>728.42292000000009</v>
      </c>
      <c r="CA211" s="260"/>
      <c r="CB211" s="347">
        <v>9.4</v>
      </c>
      <c r="CC211" s="486">
        <f t="shared" si="3"/>
        <v>9.4</v>
      </c>
      <c r="CD211" s="287"/>
      <c r="CE211" s="278"/>
      <c r="CF211" s="268"/>
      <c r="CI211" s="158">
        <v>0</v>
      </c>
      <c r="CJ211" s="343">
        <v>2605.1311151732966</v>
      </c>
      <c r="CK211" s="343">
        <v>2910.2258209202873</v>
      </c>
      <c r="CL211" s="343">
        <v>3123.1191257419428</v>
      </c>
      <c r="CM211" s="487">
        <v>3317.3961940877625</v>
      </c>
      <c r="CN211" s="487">
        <v>3784.4288782784211</v>
      </c>
      <c r="CO211" s="495">
        <v>62.746000000000002</v>
      </c>
      <c r="CP211" s="299"/>
      <c r="CQ211" s="489">
        <v>0</v>
      </c>
      <c r="CR211" s="489">
        <v>0</v>
      </c>
    </row>
    <row r="212" spans="1:96" x14ac:dyDescent="0.2">
      <c r="A212" s="154">
        <v>683</v>
      </c>
      <c r="B212" s="156" t="s">
        <v>237</v>
      </c>
      <c r="C212" s="337">
        <v>3618</v>
      </c>
      <c r="D212" s="276">
        <v>19.75</v>
      </c>
      <c r="E212" s="185"/>
      <c r="G212" s="278">
        <v>4389.3385499999995</v>
      </c>
      <c r="H212" s="278">
        <v>35397.077939999996</v>
      </c>
      <c r="I212" s="278"/>
      <c r="J212" s="278">
        <v>8624.0505199999989</v>
      </c>
      <c r="K212" s="278">
        <v>1113.4578600000002</v>
      </c>
      <c r="L212" s="278">
        <v>1093.38273</v>
      </c>
      <c r="M212" s="278">
        <v>10830.891109999999</v>
      </c>
      <c r="N212" s="278">
        <v>21565.578000000001</v>
      </c>
      <c r="O212" s="278">
        <v>34.39481</v>
      </c>
      <c r="P212" s="278">
        <v>45.762900000000002</v>
      </c>
      <c r="Q212" s="278">
        <v>492.78203999999999</v>
      </c>
      <c r="R212" s="278">
        <v>285.39843000000002</v>
      </c>
      <c r="S212" s="278">
        <v>1584.74524</v>
      </c>
      <c r="U212" s="278">
        <v>939.88231000000007</v>
      </c>
      <c r="V212" s="278">
        <v>0</v>
      </c>
      <c r="W212" s="278">
        <v>0</v>
      </c>
      <c r="X212" s="278">
        <v>644.86293000000001</v>
      </c>
      <c r="Y212" s="278">
        <v>-22.57938</v>
      </c>
      <c r="Z212" s="278">
        <v>0</v>
      </c>
      <c r="AA212" s="278">
        <v>0</v>
      </c>
      <c r="AB212" s="278">
        <v>667.44231000000002</v>
      </c>
      <c r="AD212" s="278">
        <v>14413.10348</v>
      </c>
      <c r="AE212" s="157">
        <v>1584.74524</v>
      </c>
      <c r="AF212" s="184">
        <v>0</v>
      </c>
      <c r="AG212" s="278">
        <v>-1920.0627500000001</v>
      </c>
      <c r="AH212" s="278">
        <v>170.28149999999999</v>
      </c>
      <c r="AI212" s="184">
        <v>15.31892</v>
      </c>
      <c r="AJ212" s="278">
        <v>11196.54754</v>
      </c>
      <c r="AL212" s="278">
        <v>2344.8539999999998</v>
      </c>
      <c r="AM212" s="184">
        <v>32.805639999999997</v>
      </c>
      <c r="AN212" s="278">
        <v>-344.82400000000001</v>
      </c>
      <c r="AO212" s="355">
        <v>3599</v>
      </c>
      <c r="AP212" s="344">
        <v>7.1100000000000012</v>
      </c>
      <c r="AQ212" s="462"/>
      <c r="AS212" s="469">
        <v>2417.92011</v>
      </c>
      <c r="AT212" s="278">
        <v>16408.409739999999</v>
      </c>
      <c r="AU212" s="464"/>
      <c r="AV212" s="346">
        <v>3721.2199500000002</v>
      </c>
      <c r="AW212" s="346">
        <v>696.29731000000004</v>
      </c>
      <c r="AX212" s="346">
        <v>1135.5170500000002</v>
      </c>
      <c r="AY212" s="346">
        <v>5553.03431</v>
      </c>
      <c r="AZ212" s="346">
        <v>8279.0910000000003</v>
      </c>
      <c r="BA212" s="278">
        <v>43.901000000000003</v>
      </c>
      <c r="BB212" s="345">
        <v>135.21449999999999</v>
      </c>
      <c r="BC212" s="278">
        <v>95.732460000000003</v>
      </c>
      <c r="BD212" s="278">
        <v>108.07405</v>
      </c>
      <c r="BE212" s="346">
        <v>-262.01940999999999</v>
      </c>
      <c r="BG212" s="343">
        <v>800.31799000000001</v>
      </c>
      <c r="BH212" s="343">
        <v>0</v>
      </c>
      <c r="BI212" s="343">
        <v>0</v>
      </c>
      <c r="BJ212" s="346">
        <v>-1062.3373999999999</v>
      </c>
      <c r="BK212" s="343">
        <v>-14.01566</v>
      </c>
      <c r="BL212" s="343">
        <v>0</v>
      </c>
      <c r="BM212" s="343">
        <v>0</v>
      </c>
      <c r="BN212" s="346">
        <v>-1048.3217400000001</v>
      </c>
      <c r="BP212" s="346">
        <v>13364.78174</v>
      </c>
      <c r="BQ212" s="318">
        <v>-262.25011000000001</v>
      </c>
      <c r="BR212" s="278">
        <v>-0.23069999999999999</v>
      </c>
      <c r="BS212" s="475">
        <v>-8158.3803200000002</v>
      </c>
      <c r="BT212" s="278">
        <v>0</v>
      </c>
      <c r="BU212" s="278">
        <v>2.88</v>
      </c>
      <c r="BV212" s="345">
        <v>11330.730160000001</v>
      </c>
      <c r="BX212" s="278">
        <v>11500.03</v>
      </c>
      <c r="BY212" s="483">
        <v>29.045639999999999</v>
      </c>
      <c r="BZ212" s="483">
        <v>9155.1759999999995</v>
      </c>
      <c r="CA212" s="260"/>
      <c r="CB212" s="347">
        <v>7.1</v>
      </c>
      <c r="CC212" s="486">
        <f t="shared" si="3"/>
        <v>7.1</v>
      </c>
      <c r="CD212" s="287"/>
      <c r="CE212" s="278"/>
      <c r="CF212" s="268"/>
      <c r="CI212" s="158">
        <v>0</v>
      </c>
      <c r="CJ212" s="343">
        <v>8433.1139651881367</v>
      </c>
      <c r="CK212" s="343">
        <v>8917.1595867936921</v>
      </c>
      <c r="CL212" s="343">
        <v>9091.5796647593252</v>
      </c>
      <c r="CM212" s="487">
        <v>9017.7448672395112</v>
      </c>
      <c r="CN212" s="487">
        <v>9599.4106488248508</v>
      </c>
      <c r="CO212" s="495">
        <v>144.43100000000001</v>
      </c>
      <c r="CP212" s="299"/>
      <c r="CQ212" s="489">
        <v>0</v>
      </c>
      <c r="CR212" s="489">
        <v>0</v>
      </c>
    </row>
    <row r="213" spans="1:96" x14ac:dyDescent="0.2">
      <c r="A213" s="154">
        <v>684</v>
      </c>
      <c r="B213" s="156" t="s">
        <v>238</v>
      </c>
      <c r="C213" s="337">
        <v>38667</v>
      </c>
      <c r="D213" s="276">
        <v>20.5</v>
      </c>
      <c r="E213" s="185"/>
      <c r="G213" s="278">
        <v>54052.987700000005</v>
      </c>
      <c r="H213" s="278">
        <v>297488.80692</v>
      </c>
      <c r="I213" s="278"/>
      <c r="J213" s="278">
        <v>167980.56453999999</v>
      </c>
      <c r="K213" s="278">
        <v>21783.431789999999</v>
      </c>
      <c r="L213" s="278">
        <v>9142.2329900000004</v>
      </c>
      <c r="M213" s="278">
        <v>198906.22931999998</v>
      </c>
      <c r="N213" s="278">
        <v>66567.107999999993</v>
      </c>
      <c r="O213" s="278">
        <v>1848.6163100000001</v>
      </c>
      <c r="P213" s="278">
        <v>476.09487000000001</v>
      </c>
      <c r="Q213" s="278">
        <v>438.22113000000002</v>
      </c>
      <c r="R213" s="278">
        <v>10.278120000000001</v>
      </c>
      <c r="S213" s="278">
        <v>23837.982550000001</v>
      </c>
      <c r="U213" s="278">
        <v>17701.063630000001</v>
      </c>
      <c r="V213" s="278">
        <v>0</v>
      </c>
      <c r="W213" s="278">
        <v>0</v>
      </c>
      <c r="X213" s="278">
        <v>6136.9189200000001</v>
      </c>
      <c r="Y213" s="278">
        <v>-63.542379999999994</v>
      </c>
      <c r="Z213" s="278">
        <v>0</v>
      </c>
      <c r="AA213" s="278">
        <v>0</v>
      </c>
      <c r="AB213" s="278">
        <v>6200.4612999999999</v>
      </c>
      <c r="AD213" s="278">
        <v>107511.93519000002</v>
      </c>
      <c r="AE213" s="157">
        <v>0</v>
      </c>
      <c r="AF213" s="184">
        <v>-839.03599999999994</v>
      </c>
      <c r="AG213" s="278">
        <v>-49829.442000000003</v>
      </c>
      <c r="AH213" s="278">
        <v>0</v>
      </c>
      <c r="AI213" s="184">
        <v>0</v>
      </c>
      <c r="AJ213" s="278">
        <v>0</v>
      </c>
      <c r="AL213" s="278">
        <v>57200.004000000001</v>
      </c>
      <c r="AM213" s="184">
        <v>-82.7</v>
      </c>
      <c r="AN213" s="278">
        <v>-7566.6660000000002</v>
      </c>
      <c r="AO213" s="355">
        <v>38832</v>
      </c>
      <c r="AP213" s="344">
        <v>7.86</v>
      </c>
      <c r="AQ213" s="462"/>
      <c r="AS213" s="469">
        <v>42660.666090000006</v>
      </c>
      <c r="AT213" s="278">
        <v>131890.01246</v>
      </c>
      <c r="AU213" s="464"/>
      <c r="AV213" s="346">
        <v>73668.75351000001</v>
      </c>
      <c r="AW213" s="346">
        <v>15755.82267</v>
      </c>
      <c r="AX213" s="346">
        <v>9792.5762799999993</v>
      </c>
      <c r="AY213" s="346">
        <v>99217.152459999998</v>
      </c>
      <c r="AZ213" s="346">
        <v>20905.493999999999</v>
      </c>
      <c r="BA213" s="278">
        <v>1950.2000600000001</v>
      </c>
      <c r="BB213" s="345">
        <v>685.86443999999995</v>
      </c>
      <c r="BC213" s="278">
        <v>437.75214</v>
      </c>
      <c r="BD213" s="278">
        <v>166.55368999999999</v>
      </c>
      <c r="BE213" s="346">
        <v>32428.834159999999</v>
      </c>
      <c r="BG213" s="343">
        <v>19351.69527</v>
      </c>
      <c r="BH213" s="343">
        <v>0</v>
      </c>
      <c r="BI213" s="343">
        <v>0</v>
      </c>
      <c r="BJ213" s="346">
        <v>13077.13889</v>
      </c>
      <c r="BK213" s="346">
        <v>-59.25468</v>
      </c>
      <c r="BL213" s="343">
        <v>9000</v>
      </c>
      <c r="BM213" s="343">
        <v>0</v>
      </c>
      <c r="BN213" s="346">
        <v>4136.3935700000002</v>
      </c>
      <c r="BP213" s="346">
        <v>111648.32876</v>
      </c>
      <c r="BQ213" s="318">
        <v>30642.903019999998</v>
      </c>
      <c r="BR213" s="278">
        <v>-1785.9311399999999</v>
      </c>
      <c r="BS213" s="475">
        <v>-44541.970240000002</v>
      </c>
      <c r="BT213" s="278">
        <v>1071.71</v>
      </c>
      <c r="BU213" s="278">
        <v>1814.36418</v>
      </c>
      <c r="BV213" s="345">
        <v>17028.852199999998</v>
      </c>
      <c r="BX213" s="278">
        <v>79633.337999999989</v>
      </c>
      <c r="BY213" s="483">
        <v>19.2</v>
      </c>
      <c r="BZ213" s="483">
        <v>22433.333999999999</v>
      </c>
      <c r="CA213" s="260"/>
      <c r="CB213" s="347">
        <v>7.9</v>
      </c>
      <c r="CC213" s="486">
        <f t="shared" si="3"/>
        <v>7.9</v>
      </c>
      <c r="CD213" s="287"/>
      <c r="CE213" s="278"/>
      <c r="CF213" s="268"/>
      <c r="CI213" s="158">
        <v>0</v>
      </c>
      <c r="CJ213" s="343">
        <v>10713.122945380552</v>
      </c>
      <c r="CK213" s="343">
        <v>12934.990285428714</v>
      </c>
      <c r="CL213" s="343">
        <v>14160.928044727607</v>
      </c>
      <c r="CM213" s="487">
        <v>14304.951554003257</v>
      </c>
      <c r="CN213" s="487">
        <v>15591.3126346873</v>
      </c>
      <c r="CO213" s="495">
        <v>-1345.3019999999999</v>
      </c>
      <c r="CP213" s="299"/>
      <c r="CQ213" s="489">
        <v>0</v>
      </c>
      <c r="CR213" s="489">
        <v>0</v>
      </c>
    </row>
    <row r="214" spans="1:96" x14ac:dyDescent="0.2">
      <c r="A214" s="154">
        <v>686</v>
      </c>
      <c r="B214" s="156" t="s">
        <v>239</v>
      </c>
      <c r="C214" s="337">
        <v>2964</v>
      </c>
      <c r="D214" s="276">
        <v>22.5</v>
      </c>
      <c r="E214" s="185"/>
      <c r="G214" s="278">
        <v>2801.51152</v>
      </c>
      <c r="H214" s="278">
        <v>26692.385829999999</v>
      </c>
      <c r="I214" s="278"/>
      <c r="J214" s="278">
        <v>9348.1493300000002</v>
      </c>
      <c r="K214" s="278">
        <v>1269.5834199999999</v>
      </c>
      <c r="L214" s="278">
        <v>1296.7676100000001</v>
      </c>
      <c r="M214" s="278">
        <v>11914.50036</v>
      </c>
      <c r="N214" s="278">
        <v>13369.021000000001</v>
      </c>
      <c r="O214" s="278">
        <v>2.4593099999999999</v>
      </c>
      <c r="P214" s="278">
        <v>96.927949999999996</v>
      </c>
      <c r="Q214" s="278">
        <v>492.75571000000002</v>
      </c>
      <c r="R214" s="278">
        <v>2.0933699999999997</v>
      </c>
      <c r="S214" s="278">
        <v>1788.8407500000001</v>
      </c>
      <c r="U214" s="278">
        <v>1367.2492500000001</v>
      </c>
      <c r="V214" s="278">
        <v>0</v>
      </c>
      <c r="W214" s="278">
        <v>0</v>
      </c>
      <c r="X214" s="278">
        <v>421.5915</v>
      </c>
      <c r="Y214" s="278">
        <v>0</v>
      </c>
      <c r="Z214" s="278">
        <v>0</v>
      </c>
      <c r="AA214" s="278">
        <v>0</v>
      </c>
      <c r="AB214" s="278">
        <v>421.5915</v>
      </c>
      <c r="AD214" s="278">
        <v>4239.9795899999999</v>
      </c>
      <c r="AE214" s="157">
        <v>1904.9954</v>
      </c>
      <c r="AF214" s="184">
        <v>116.15464999999999</v>
      </c>
      <c r="AG214" s="278">
        <v>-554.38788999999997</v>
      </c>
      <c r="AH214" s="278">
        <v>146.24318</v>
      </c>
      <c r="AI214" s="184">
        <v>29.752500000000001</v>
      </c>
      <c r="AJ214" s="278">
        <v>22.856909999999999</v>
      </c>
      <c r="AL214" s="278">
        <v>11351.102140000001</v>
      </c>
      <c r="AM214" s="184">
        <v>-92.32</v>
      </c>
      <c r="AN214" s="278">
        <v>-3189.9339100000002</v>
      </c>
      <c r="AO214" s="355">
        <v>2933</v>
      </c>
      <c r="AP214" s="344">
        <v>9.86</v>
      </c>
      <c r="AQ214" s="462"/>
      <c r="AS214" s="469">
        <v>2767.0916200000001</v>
      </c>
      <c r="AT214" s="278">
        <v>11627.892330000001</v>
      </c>
      <c r="AU214" s="464"/>
      <c r="AV214" s="346">
        <v>5069.8254400000005</v>
      </c>
      <c r="AW214" s="346">
        <v>737.67558999999994</v>
      </c>
      <c r="AX214" s="346">
        <v>1320.4568999999999</v>
      </c>
      <c r="AY214" s="346">
        <v>7127.9579299999996</v>
      </c>
      <c r="AZ214" s="346">
        <v>1971.6780000000001</v>
      </c>
      <c r="BA214" s="278">
        <v>9.2540300000000002</v>
      </c>
      <c r="BB214" s="345">
        <v>279.97434999999996</v>
      </c>
      <c r="BC214" s="278">
        <v>519.16701999999998</v>
      </c>
      <c r="BD214" s="278">
        <v>0.65458000000000005</v>
      </c>
      <c r="BE214" s="346">
        <v>486.62734</v>
      </c>
      <c r="BG214" s="343">
        <v>1109.6238899999998</v>
      </c>
      <c r="BH214" s="343">
        <v>0</v>
      </c>
      <c r="BI214" s="343">
        <v>0</v>
      </c>
      <c r="BJ214" s="346">
        <v>-622.99655000000007</v>
      </c>
      <c r="BK214" s="346">
        <v>0</v>
      </c>
      <c r="BL214" s="346">
        <v>0</v>
      </c>
      <c r="BM214" s="343">
        <v>0</v>
      </c>
      <c r="BN214" s="346">
        <v>-622.99655000000007</v>
      </c>
      <c r="BP214" s="346">
        <v>3616.9830400000001</v>
      </c>
      <c r="BQ214" s="318">
        <v>753.97384</v>
      </c>
      <c r="BR214" s="278">
        <v>267.34649999999999</v>
      </c>
      <c r="BS214" s="475">
        <v>-83.850490000000008</v>
      </c>
      <c r="BT214" s="278">
        <v>0</v>
      </c>
      <c r="BU214" s="278">
        <v>20.5</v>
      </c>
      <c r="BV214" s="345">
        <v>157.59570000000002</v>
      </c>
      <c r="BX214" s="278">
        <v>10102.574000000001</v>
      </c>
      <c r="BY214" s="483">
        <v>0</v>
      </c>
      <c r="BZ214" s="483">
        <v>-2776.3991299999998</v>
      </c>
      <c r="CA214" s="260"/>
      <c r="CB214" s="347">
        <v>9.9</v>
      </c>
      <c r="CC214" s="486">
        <f t="shared" si="3"/>
        <v>9.9</v>
      </c>
      <c r="CD214" s="287"/>
      <c r="CE214" s="278"/>
      <c r="CF214" s="268"/>
      <c r="CI214" s="158">
        <v>0</v>
      </c>
      <c r="CJ214" s="343">
        <v>2387.5751938378094</v>
      </c>
      <c r="CK214" s="343">
        <v>2700.0877695854829</v>
      </c>
      <c r="CL214" s="343">
        <v>2756.31562860127</v>
      </c>
      <c r="CM214" s="487">
        <v>2777.0571540502801</v>
      </c>
      <c r="CN214" s="487">
        <v>3217.1840705880518</v>
      </c>
      <c r="CO214" s="495">
        <v>592.01499999999999</v>
      </c>
      <c r="CP214" s="299"/>
      <c r="CQ214" s="489">
        <v>0</v>
      </c>
      <c r="CR214" s="489">
        <v>0</v>
      </c>
    </row>
    <row r="215" spans="1:96" x14ac:dyDescent="0.2">
      <c r="A215" s="154">
        <v>687</v>
      </c>
      <c r="B215" s="156" t="s">
        <v>240</v>
      </c>
      <c r="C215" s="337">
        <v>1477</v>
      </c>
      <c r="D215" s="276">
        <v>22</v>
      </c>
      <c r="E215" s="185"/>
      <c r="G215" s="278">
        <v>2807.7442299999998</v>
      </c>
      <c r="H215" s="278">
        <v>16212.443499999999</v>
      </c>
      <c r="I215" s="278"/>
      <c r="J215" s="278">
        <v>3875.32368</v>
      </c>
      <c r="K215" s="278">
        <v>2327.7648799999997</v>
      </c>
      <c r="L215" s="278">
        <v>474.28245000000004</v>
      </c>
      <c r="M215" s="278">
        <v>6677.3710099999998</v>
      </c>
      <c r="N215" s="278">
        <v>8418.7540000000008</v>
      </c>
      <c r="O215" s="278">
        <v>71.429729999999992</v>
      </c>
      <c r="P215" s="278">
        <v>44.9176</v>
      </c>
      <c r="Q215" s="278">
        <v>352.03530000000001</v>
      </c>
      <c r="R215" s="278">
        <v>1.5364599999999999</v>
      </c>
      <c r="S215" s="278">
        <v>2068.4367099999999</v>
      </c>
      <c r="U215" s="278">
        <v>869.08589000000006</v>
      </c>
      <c r="V215" s="278">
        <v>0</v>
      </c>
      <c r="W215" s="278">
        <v>0</v>
      </c>
      <c r="X215" s="278">
        <v>1199.3508200000001</v>
      </c>
      <c r="Y215" s="278">
        <v>0</v>
      </c>
      <c r="Z215" s="278">
        <v>0</v>
      </c>
      <c r="AA215" s="278">
        <v>0</v>
      </c>
      <c r="AB215" s="278">
        <v>1199.3508200000001</v>
      </c>
      <c r="AD215" s="278">
        <v>9773.4228299999995</v>
      </c>
      <c r="AE215" s="157">
        <v>2063.06</v>
      </c>
      <c r="AF215" s="184">
        <v>-5.3760000000000003</v>
      </c>
      <c r="AG215" s="278">
        <v>-414.14499999999998</v>
      </c>
      <c r="AH215" s="278">
        <v>38.692999999999998</v>
      </c>
      <c r="AI215" s="184">
        <v>11.96</v>
      </c>
      <c r="AJ215" s="278">
        <v>3054.2760000000003</v>
      </c>
      <c r="AL215" s="278">
        <v>6480.5887100000009</v>
      </c>
      <c r="AM215" s="184">
        <v>0</v>
      </c>
      <c r="AN215" s="278">
        <v>-1436.9659999999999</v>
      </c>
      <c r="AO215" s="355">
        <v>1424</v>
      </c>
      <c r="AP215" s="344">
        <v>9.36</v>
      </c>
      <c r="AQ215" s="462"/>
      <c r="AS215" s="469">
        <v>2772.4655400000001</v>
      </c>
      <c r="AT215" s="278">
        <v>6976.7775899999997</v>
      </c>
      <c r="AU215" s="464"/>
      <c r="AV215" s="346">
        <v>1999.05539</v>
      </c>
      <c r="AW215" s="346">
        <v>1284.5111399999998</v>
      </c>
      <c r="AX215" s="346">
        <v>486.32891999999998</v>
      </c>
      <c r="AY215" s="346">
        <v>3769.89545</v>
      </c>
      <c r="AZ215" s="346">
        <v>927.78099999999995</v>
      </c>
      <c r="BA215" s="278">
        <v>68.919749999999993</v>
      </c>
      <c r="BB215" s="345">
        <v>132.72581</v>
      </c>
      <c r="BC215" s="278">
        <v>352.26461</v>
      </c>
      <c r="BD215" s="278">
        <v>117.65096000000001</v>
      </c>
      <c r="BE215" s="346">
        <v>664.17198999999994</v>
      </c>
      <c r="BG215" s="343">
        <v>737.41675999999995</v>
      </c>
      <c r="BH215" s="343">
        <v>0</v>
      </c>
      <c r="BI215" s="343">
        <v>0</v>
      </c>
      <c r="BJ215" s="346">
        <v>-73.244770000000003</v>
      </c>
      <c r="BK215" s="343">
        <v>0</v>
      </c>
      <c r="BL215" s="343">
        <v>0</v>
      </c>
      <c r="BM215" s="343">
        <v>0</v>
      </c>
      <c r="BN215" s="346">
        <v>-73.244770000000003</v>
      </c>
      <c r="BP215" s="346">
        <v>9700.1780600000002</v>
      </c>
      <c r="BQ215" s="318">
        <v>889.73577999999998</v>
      </c>
      <c r="BR215" s="278">
        <v>225.56379000000001</v>
      </c>
      <c r="BS215" s="475">
        <v>-458.53566999999998</v>
      </c>
      <c r="BT215" s="278">
        <v>41.9</v>
      </c>
      <c r="BU215" s="278">
        <v>12.1</v>
      </c>
      <c r="BV215" s="345">
        <v>2767.8359399999999</v>
      </c>
      <c r="BX215" s="278">
        <v>5539.3227099999995</v>
      </c>
      <c r="BY215" s="483">
        <v>0</v>
      </c>
      <c r="BZ215" s="483">
        <v>-941.26599999999996</v>
      </c>
      <c r="CA215" s="260"/>
      <c r="CB215" s="347">
        <v>9.4</v>
      </c>
      <c r="CC215" s="486">
        <f t="shared" si="3"/>
        <v>9.4</v>
      </c>
      <c r="CD215" s="287"/>
      <c r="CE215" s="278"/>
      <c r="CF215" s="268"/>
      <c r="CI215" s="158">
        <v>0</v>
      </c>
      <c r="CJ215" s="343">
        <v>1520.6358308236208</v>
      </c>
      <c r="CK215" s="343">
        <v>1889.2593455310862</v>
      </c>
      <c r="CL215" s="343">
        <v>1864.638794899658</v>
      </c>
      <c r="CM215" s="487">
        <v>1901.8860404950624</v>
      </c>
      <c r="CN215" s="487">
        <v>2165.594641999769</v>
      </c>
      <c r="CO215" s="495">
        <v>142.28100000000001</v>
      </c>
      <c r="CP215" s="299"/>
      <c r="CQ215" s="489">
        <v>0</v>
      </c>
      <c r="CR215" s="489">
        <v>0</v>
      </c>
    </row>
    <row r="216" spans="1:96" x14ac:dyDescent="0.2">
      <c r="A216" s="154">
        <v>689</v>
      </c>
      <c r="B216" s="156" t="s">
        <v>241</v>
      </c>
      <c r="C216" s="337">
        <v>3093</v>
      </c>
      <c r="D216" s="276">
        <v>21</v>
      </c>
      <c r="E216" s="185"/>
      <c r="G216" s="278">
        <v>2744.9474100000002</v>
      </c>
      <c r="H216" s="278">
        <v>26367.778420000002</v>
      </c>
      <c r="I216" s="278"/>
      <c r="J216" s="278">
        <v>10620.76008</v>
      </c>
      <c r="K216" s="278">
        <v>3099.65967</v>
      </c>
      <c r="L216" s="278">
        <v>879.41449</v>
      </c>
      <c r="M216" s="278">
        <v>14599.83424</v>
      </c>
      <c r="N216" s="278">
        <v>11086.085999999999</v>
      </c>
      <c r="O216" s="278">
        <v>33.508449999999996</v>
      </c>
      <c r="P216" s="278">
        <v>28.331189999999999</v>
      </c>
      <c r="Q216" s="278">
        <v>72.970590000000001</v>
      </c>
      <c r="R216" s="278">
        <v>1.5101800000000001</v>
      </c>
      <c r="S216" s="278">
        <v>2139.7269000000001</v>
      </c>
      <c r="U216" s="278">
        <v>1547.1999599999999</v>
      </c>
      <c r="V216" s="278">
        <v>0</v>
      </c>
      <c r="W216" s="278">
        <v>0</v>
      </c>
      <c r="X216" s="278">
        <v>592.52693999999997</v>
      </c>
      <c r="Y216" s="278">
        <v>-106.99966000000001</v>
      </c>
      <c r="Z216" s="278">
        <v>0</v>
      </c>
      <c r="AA216" s="278">
        <v>0</v>
      </c>
      <c r="AB216" s="278">
        <v>699.52660000000003</v>
      </c>
      <c r="AD216" s="278">
        <v>9332.7485399999987</v>
      </c>
      <c r="AE216" s="157">
        <v>1656.7615499999999</v>
      </c>
      <c r="AF216" s="184">
        <v>-482.96535</v>
      </c>
      <c r="AG216" s="278">
        <v>-919.82488000000001</v>
      </c>
      <c r="AH216" s="278">
        <v>95.579619999999991</v>
      </c>
      <c r="AI216" s="184">
        <v>14</v>
      </c>
      <c r="AJ216" s="278">
        <v>3182.0284900000006</v>
      </c>
      <c r="AL216" s="278">
        <v>4133.8757000000005</v>
      </c>
      <c r="AM216" s="184">
        <v>20.88766</v>
      </c>
      <c r="AN216" s="278">
        <v>-98.513999999999996</v>
      </c>
      <c r="AO216" s="355">
        <v>3032</v>
      </c>
      <c r="AP216" s="344">
        <v>8.36</v>
      </c>
      <c r="AQ216" s="462"/>
      <c r="AS216" s="469">
        <v>2909.7771600000001</v>
      </c>
      <c r="AT216" s="278">
        <v>10597.840850000001</v>
      </c>
      <c r="AU216" s="464"/>
      <c r="AV216" s="346">
        <v>5301.6812900000004</v>
      </c>
      <c r="AW216" s="346">
        <v>2408.8915200000001</v>
      </c>
      <c r="AX216" s="346">
        <v>844.20352000000003</v>
      </c>
      <c r="AY216" s="346">
        <v>8554.7763300000006</v>
      </c>
      <c r="AZ216" s="346">
        <v>2983.3960000000002</v>
      </c>
      <c r="BA216" s="278">
        <v>16.84308</v>
      </c>
      <c r="BB216" s="345">
        <v>90.307600000000008</v>
      </c>
      <c r="BC216" s="278">
        <v>89.322749999999999</v>
      </c>
      <c r="BD216" s="278">
        <v>2.9923200000000003</v>
      </c>
      <c r="BE216" s="346">
        <v>3862.9745499999999</v>
      </c>
      <c r="BG216" s="343">
        <v>1533.3281200000001</v>
      </c>
      <c r="BH216" s="343">
        <v>0</v>
      </c>
      <c r="BI216" s="343">
        <v>0</v>
      </c>
      <c r="BJ216" s="346">
        <v>2329.6464300000002</v>
      </c>
      <c r="BK216" s="343">
        <v>-106.99966000000001</v>
      </c>
      <c r="BL216" s="343">
        <v>0</v>
      </c>
      <c r="BM216" s="343">
        <v>0</v>
      </c>
      <c r="BN216" s="346">
        <v>2436.6460899999997</v>
      </c>
      <c r="BP216" s="346">
        <v>11769.394629999999</v>
      </c>
      <c r="BQ216" s="318">
        <v>3748.2628199999999</v>
      </c>
      <c r="BR216" s="278">
        <v>-114.71173</v>
      </c>
      <c r="BS216" s="475">
        <v>-2588.6001000000001</v>
      </c>
      <c r="BT216" s="278">
        <v>28.8</v>
      </c>
      <c r="BU216" s="278">
        <v>726.5735699999999</v>
      </c>
      <c r="BV216" s="345">
        <v>3961.4360299999998</v>
      </c>
      <c r="BX216" s="278">
        <v>3570.7617</v>
      </c>
      <c r="BY216" s="483">
        <v>-154.37736999999998</v>
      </c>
      <c r="BZ216" s="483">
        <v>-563.11400000000003</v>
      </c>
      <c r="CA216" s="260"/>
      <c r="CB216" s="347">
        <v>8.3000000000000007</v>
      </c>
      <c r="CC216" s="486">
        <f t="shared" si="3"/>
        <v>8.3000000000000007</v>
      </c>
      <c r="CD216" s="287"/>
      <c r="CE216" s="278"/>
      <c r="CF216" s="268"/>
      <c r="CI216" s="158">
        <v>0</v>
      </c>
      <c r="CJ216" s="343">
        <v>2147.4213418247618</v>
      </c>
      <c r="CK216" s="343">
        <v>2542.6553618442522</v>
      </c>
      <c r="CL216" s="343">
        <v>3289.1678604870685</v>
      </c>
      <c r="CM216" s="487">
        <v>3158.4538791854216</v>
      </c>
      <c r="CN216" s="487">
        <v>3781.1049177529353</v>
      </c>
      <c r="CO216" s="495">
        <v>-106.13500000000001</v>
      </c>
      <c r="CP216" s="299"/>
      <c r="CQ216" s="489">
        <v>0</v>
      </c>
      <c r="CR216" s="489">
        <v>0</v>
      </c>
    </row>
    <row r="217" spans="1:96" x14ac:dyDescent="0.2">
      <c r="A217" s="154">
        <v>691</v>
      </c>
      <c r="B217" s="156" t="s">
        <v>242</v>
      </c>
      <c r="C217" s="337">
        <v>2636</v>
      </c>
      <c r="D217" s="276">
        <v>22.5</v>
      </c>
      <c r="E217" s="185"/>
      <c r="G217" s="278">
        <v>6850.2849800000004</v>
      </c>
      <c r="H217" s="278">
        <v>26610.628000000001</v>
      </c>
      <c r="I217" s="278"/>
      <c r="J217" s="278">
        <v>7763.4011200000004</v>
      </c>
      <c r="K217" s="278">
        <v>707.70479</v>
      </c>
      <c r="L217" s="278">
        <v>801.11311000000001</v>
      </c>
      <c r="M217" s="278">
        <v>9272.2190200000005</v>
      </c>
      <c r="N217" s="278">
        <v>12804.797</v>
      </c>
      <c r="O217" s="278">
        <v>51.218050000000005</v>
      </c>
      <c r="P217" s="278">
        <v>255.43851000000001</v>
      </c>
      <c r="Q217" s="278">
        <v>800.14432999999997</v>
      </c>
      <c r="R217" s="278">
        <v>1291.2098000000001</v>
      </c>
      <c r="S217" s="278">
        <v>1621.38707</v>
      </c>
      <c r="U217" s="278">
        <v>1073.14797</v>
      </c>
      <c r="V217" s="278">
        <v>0</v>
      </c>
      <c r="W217" s="278">
        <v>0</v>
      </c>
      <c r="X217" s="278">
        <v>548.23910000000001</v>
      </c>
      <c r="Y217" s="278">
        <v>0</v>
      </c>
      <c r="Z217" s="278">
        <v>0</v>
      </c>
      <c r="AA217" s="278">
        <v>0</v>
      </c>
      <c r="AB217" s="278">
        <v>548.23910000000001</v>
      </c>
      <c r="AD217" s="278">
        <v>924.37058999999999</v>
      </c>
      <c r="AE217" s="157">
        <v>1564.5333999999998</v>
      </c>
      <c r="AF217" s="184">
        <v>-56.853670000000001</v>
      </c>
      <c r="AG217" s="278">
        <v>-1222.7373300000002</v>
      </c>
      <c r="AH217" s="278">
        <v>79.722679999999997</v>
      </c>
      <c r="AI217" s="184">
        <v>178.2</v>
      </c>
      <c r="AJ217" s="278">
        <v>9494.81495</v>
      </c>
      <c r="AL217" s="278">
        <v>28454.558609999996</v>
      </c>
      <c r="AM217" s="184">
        <v>-664.98314000000005</v>
      </c>
      <c r="AN217" s="278">
        <v>-3514.3405699999998</v>
      </c>
      <c r="AO217" s="355">
        <v>2598</v>
      </c>
      <c r="AP217" s="344">
        <v>9.86</v>
      </c>
      <c r="AQ217" s="462"/>
      <c r="AS217" s="469">
        <v>1989.4728600000001</v>
      </c>
      <c r="AT217" s="278">
        <v>10456.646640000001</v>
      </c>
      <c r="AU217" s="464"/>
      <c r="AV217" s="346">
        <v>4337.0132999999996</v>
      </c>
      <c r="AW217" s="346">
        <v>437.96537000000001</v>
      </c>
      <c r="AX217" s="346">
        <v>731.62466000000006</v>
      </c>
      <c r="AY217" s="346">
        <v>5506.6033299999999</v>
      </c>
      <c r="AZ217" s="346">
        <v>5091.5829999999996</v>
      </c>
      <c r="BA217" s="278">
        <v>112.53662</v>
      </c>
      <c r="BB217" s="345">
        <v>627.30557999999996</v>
      </c>
      <c r="BC217" s="278">
        <v>1553.10374</v>
      </c>
      <c r="BD217" s="278">
        <v>1696.79646</v>
      </c>
      <c r="BE217" s="346">
        <v>1472.55087</v>
      </c>
      <c r="BG217" s="343">
        <v>1192.29574</v>
      </c>
      <c r="BH217" s="343">
        <v>0</v>
      </c>
      <c r="BI217" s="343">
        <v>0</v>
      </c>
      <c r="BJ217" s="346">
        <v>280.25513000000001</v>
      </c>
      <c r="BK217" s="343">
        <v>0</v>
      </c>
      <c r="BL217" s="343">
        <v>0</v>
      </c>
      <c r="BM217" s="343">
        <v>0</v>
      </c>
      <c r="BN217" s="346">
        <v>280.25513000000001</v>
      </c>
      <c r="BP217" s="346">
        <v>1204.62572</v>
      </c>
      <c r="BQ217" s="318">
        <v>1445.3508700000002</v>
      </c>
      <c r="BR217" s="278">
        <v>-27.2</v>
      </c>
      <c r="BS217" s="475">
        <v>-1441.4623300000001</v>
      </c>
      <c r="BT217" s="278">
        <v>55.9</v>
      </c>
      <c r="BU217" s="278">
        <v>507.98230000000001</v>
      </c>
      <c r="BV217" s="345">
        <v>9032.1613600000001</v>
      </c>
      <c r="BX217" s="278">
        <v>28538.409019999999</v>
      </c>
      <c r="BY217" s="483">
        <v>24.86411</v>
      </c>
      <c r="BZ217" s="483">
        <v>83.850409999999997</v>
      </c>
      <c r="CA217" s="260"/>
      <c r="CB217" s="347">
        <v>9.9</v>
      </c>
      <c r="CC217" s="486">
        <f t="shared" si="3"/>
        <v>9.9</v>
      </c>
      <c r="CD217" s="287"/>
      <c r="CE217" s="278"/>
      <c r="CF217" s="268"/>
      <c r="CG217" s="266"/>
      <c r="CI217" s="158">
        <v>0</v>
      </c>
      <c r="CJ217" s="343">
        <v>4692.5279460496158</v>
      </c>
      <c r="CK217" s="343">
        <v>4671.3178990965671</v>
      </c>
      <c r="CL217" s="343">
        <v>4977.0125536745145</v>
      </c>
      <c r="CM217" s="487">
        <v>4954.0964806328839</v>
      </c>
      <c r="CN217" s="487">
        <v>5480.996243096778</v>
      </c>
      <c r="CO217" s="495">
        <v>37.770000000000003</v>
      </c>
      <c r="CP217" s="299"/>
      <c r="CQ217" s="489">
        <v>0</v>
      </c>
      <c r="CR217" s="489">
        <v>0</v>
      </c>
    </row>
    <row r="218" spans="1:96" x14ac:dyDescent="0.2">
      <c r="A218" s="154">
        <v>694</v>
      </c>
      <c r="B218" s="156" t="s">
        <v>243</v>
      </c>
      <c r="C218" s="337">
        <v>28349</v>
      </c>
      <c r="D218" s="276">
        <v>20.5</v>
      </c>
      <c r="E218" s="185"/>
      <c r="G218" s="278">
        <v>34875.192189999994</v>
      </c>
      <c r="H218" s="278">
        <v>208136.04162</v>
      </c>
      <c r="I218" s="278"/>
      <c r="J218" s="278">
        <v>114352.9933</v>
      </c>
      <c r="K218" s="278">
        <v>15698.127109999999</v>
      </c>
      <c r="L218" s="278">
        <v>10105.31947</v>
      </c>
      <c r="M218" s="278">
        <v>140156.43987999999</v>
      </c>
      <c r="N218" s="278">
        <v>48841.707999999999</v>
      </c>
      <c r="O218" s="278">
        <v>68.647829999999999</v>
      </c>
      <c r="P218" s="278">
        <v>370.50009999999997</v>
      </c>
      <c r="Q218" s="278">
        <v>1803.4757400000001</v>
      </c>
      <c r="R218" s="278">
        <v>697.89251999999999</v>
      </c>
      <c r="S218" s="278">
        <v>17109.916940000003</v>
      </c>
      <c r="U218" s="278">
        <v>9280.50612</v>
      </c>
      <c r="V218" s="278">
        <v>0</v>
      </c>
      <c r="W218" s="278">
        <v>0</v>
      </c>
      <c r="X218" s="278">
        <v>7829.4108200000001</v>
      </c>
      <c r="Y218" s="278">
        <v>-46.875480000000003</v>
      </c>
      <c r="Z218" s="278">
        <v>0</v>
      </c>
      <c r="AA218" s="278">
        <v>-100</v>
      </c>
      <c r="AB218" s="278">
        <v>7976.2862999999998</v>
      </c>
      <c r="AD218" s="278">
        <v>111763.8493</v>
      </c>
      <c r="AE218" s="157">
        <v>13849.60518</v>
      </c>
      <c r="AF218" s="184">
        <v>-3260.3117599999996</v>
      </c>
      <c r="AG218" s="278">
        <v>-18811.121739999999</v>
      </c>
      <c r="AH218" s="278">
        <v>645.70818999999995</v>
      </c>
      <c r="AI218" s="184">
        <v>3655.8120199999998</v>
      </c>
      <c r="AJ218" s="278">
        <v>17656.048640000001</v>
      </c>
      <c r="AL218" s="278">
        <v>57493.341999999997</v>
      </c>
      <c r="AM218" s="184">
        <v>14.372999999999999</v>
      </c>
      <c r="AN218" s="278">
        <v>-6622.4059999999999</v>
      </c>
      <c r="AO218" s="355">
        <v>28483</v>
      </c>
      <c r="AP218" s="344">
        <v>7.86</v>
      </c>
      <c r="AQ218" s="462"/>
      <c r="AS218" s="469">
        <v>30973.487460000004</v>
      </c>
      <c r="AT218" s="278">
        <v>100223.08662999999</v>
      </c>
      <c r="AU218" s="464"/>
      <c r="AV218" s="346">
        <v>54572.624170000003</v>
      </c>
      <c r="AW218" s="346">
        <v>11762.78916</v>
      </c>
      <c r="AX218" s="346">
        <v>10328.113939999999</v>
      </c>
      <c r="AY218" s="346">
        <v>76663.527269999991</v>
      </c>
      <c r="AZ218" s="346">
        <v>14075.172</v>
      </c>
      <c r="BA218" s="278">
        <v>368.73674</v>
      </c>
      <c r="BB218" s="345">
        <v>1898.0374399999998</v>
      </c>
      <c r="BC218" s="278">
        <v>1752.89753</v>
      </c>
      <c r="BD218" s="278">
        <v>-426.02315000000004</v>
      </c>
      <c r="BE218" s="346">
        <v>22779.701719999997</v>
      </c>
      <c r="BG218" s="343">
        <v>11820.608679999999</v>
      </c>
      <c r="BH218" s="343">
        <v>0</v>
      </c>
      <c r="BI218" s="343">
        <v>0</v>
      </c>
      <c r="BJ218" s="346">
        <v>10959.09304</v>
      </c>
      <c r="BK218" s="343">
        <v>-46.875480000000003</v>
      </c>
      <c r="BL218" s="343">
        <v>0</v>
      </c>
      <c r="BM218" s="343">
        <v>-84</v>
      </c>
      <c r="BN218" s="346">
        <v>11089.96852</v>
      </c>
      <c r="BP218" s="346">
        <v>122843.81782</v>
      </c>
      <c r="BQ218" s="318">
        <v>24186.713329999999</v>
      </c>
      <c r="BR218" s="278">
        <v>1407.01161</v>
      </c>
      <c r="BS218" s="475">
        <v>-29500.533329999998</v>
      </c>
      <c r="BT218" s="278">
        <v>898.44362999999998</v>
      </c>
      <c r="BU218" s="278">
        <v>4550.2625699999999</v>
      </c>
      <c r="BV218" s="345">
        <v>23348.32864</v>
      </c>
      <c r="BX218" s="278">
        <v>69208.436000000002</v>
      </c>
      <c r="BY218" s="483">
        <v>-10.061110000000001</v>
      </c>
      <c r="BZ218" s="483">
        <v>11715.093999999999</v>
      </c>
      <c r="CA218" s="260"/>
      <c r="CB218" s="347">
        <v>7.9</v>
      </c>
      <c r="CC218" s="486">
        <f t="shared" si="3"/>
        <v>7.9</v>
      </c>
      <c r="CD218" s="287"/>
      <c r="CE218" s="278"/>
      <c r="CF218" s="268"/>
      <c r="CI218" s="158">
        <v>0</v>
      </c>
      <c r="CJ218" s="343">
        <v>8261.5145853892263</v>
      </c>
      <c r="CK218" s="343">
        <v>10312.183874026086</v>
      </c>
      <c r="CL218" s="343">
        <v>9588.1944907197612</v>
      </c>
      <c r="CM218" s="487">
        <v>9338.9902126088873</v>
      </c>
      <c r="CN218" s="487">
        <v>9654.8989588804816</v>
      </c>
      <c r="CO218" s="495">
        <v>492.06099999999998</v>
      </c>
      <c r="CP218" s="299"/>
      <c r="CQ218" s="489">
        <v>568.88754000000006</v>
      </c>
      <c r="CR218" s="489">
        <v>640.98163999999997</v>
      </c>
    </row>
    <row r="219" spans="1:96" x14ac:dyDescent="0.2">
      <c r="A219" s="154">
        <v>697</v>
      </c>
      <c r="B219" s="156" t="s">
        <v>244</v>
      </c>
      <c r="C219" s="337">
        <v>1174</v>
      </c>
      <c r="D219" s="276">
        <v>22</v>
      </c>
      <c r="E219" s="185"/>
      <c r="G219" s="278">
        <v>3103.7125299999998</v>
      </c>
      <c r="H219" s="278">
        <v>13881.64387</v>
      </c>
      <c r="I219" s="278"/>
      <c r="J219" s="278">
        <v>3820.0096000000003</v>
      </c>
      <c r="K219" s="278">
        <v>756.50937999999996</v>
      </c>
      <c r="L219" s="278">
        <v>868.93518999999992</v>
      </c>
      <c r="M219" s="278">
        <v>5445.45417</v>
      </c>
      <c r="N219" s="278">
        <v>6078.1689999999999</v>
      </c>
      <c r="O219" s="278">
        <v>3.9426999999999999</v>
      </c>
      <c r="P219" s="278">
        <v>18.837209999999999</v>
      </c>
      <c r="Q219" s="278">
        <v>18.850270000000002</v>
      </c>
      <c r="R219" s="278">
        <v>6.52921</v>
      </c>
      <c r="S219" s="278">
        <v>743.11838</v>
      </c>
      <c r="U219" s="278">
        <v>641.25334999999995</v>
      </c>
      <c r="V219" s="278">
        <v>93.346000000000004</v>
      </c>
      <c r="W219" s="278">
        <v>0</v>
      </c>
      <c r="X219" s="278">
        <v>195.21102999999999</v>
      </c>
      <c r="Y219" s="278">
        <v>-241.88633999999999</v>
      </c>
      <c r="Z219" s="278">
        <v>0</v>
      </c>
      <c r="AA219" s="278">
        <v>0</v>
      </c>
      <c r="AB219" s="278">
        <v>437.09737000000001</v>
      </c>
      <c r="AD219" s="278">
        <v>1663.90861</v>
      </c>
      <c r="AE219" s="157">
        <v>804.06838000000005</v>
      </c>
      <c r="AF219" s="184">
        <v>-32.396000000000001</v>
      </c>
      <c r="AG219" s="278">
        <v>-70</v>
      </c>
      <c r="AH219" s="278">
        <v>0</v>
      </c>
      <c r="AI219" s="184">
        <v>44.4</v>
      </c>
      <c r="AJ219" s="278">
        <v>1704.77847</v>
      </c>
      <c r="AL219" s="278">
        <v>2985</v>
      </c>
      <c r="AM219" s="184">
        <v>33.045580000000001</v>
      </c>
      <c r="AN219" s="278">
        <v>-510</v>
      </c>
      <c r="AO219" s="355">
        <v>1164</v>
      </c>
      <c r="AP219" s="344">
        <v>9.36</v>
      </c>
      <c r="AQ219" s="462"/>
      <c r="AS219" s="469">
        <v>965.05153000000007</v>
      </c>
      <c r="AT219" s="278">
        <v>4539.2489699999996</v>
      </c>
      <c r="AU219" s="464"/>
      <c r="AV219" s="346">
        <v>1954.54357</v>
      </c>
      <c r="AW219" s="346">
        <v>423.07830000000001</v>
      </c>
      <c r="AX219" s="346">
        <v>897.41485999999998</v>
      </c>
      <c r="AY219" s="346">
        <v>3275.0367299999998</v>
      </c>
      <c r="AZ219" s="346">
        <v>586.47199999999998</v>
      </c>
      <c r="BA219" s="278">
        <v>2.1636599999999997</v>
      </c>
      <c r="BB219" s="345">
        <v>81.60087</v>
      </c>
      <c r="BC219" s="278">
        <v>26.328110000000002</v>
      </c>
      <c r="BD219" s="278">
        <v>4.0906700000000003</v>
      </c>
      <c r="BE219" s="346">
        <v>230.11151999999998</v>
      </c>
      <c r="BG219" s="343">
        <v>298.35988000000003</v>
      </c>
      <c r="BH219" s="343">
        <v>0</v>
      </c>
      <c r="BI219" s="343">
        <v>0</v>
      </c>
      <c r="BJ219" s="346">
        <v>-68.248360000000005</v>
      </c>
      <c r="BK219" s="346">
        <v>-14.32128</v>
      </c>
      <c r="BL219" s="346">
        <v>0</v>
      </c>
      <c r="BM219" s="343">
        <v>0</v>
      </c>
      <c r="BN219" s="346">
        <v>-53.927080000000004</v>
      </c>
      <c r="BP219" s="346">
        <v>1609.9815300000002</v>
      </c>
      <c r="BQ219" s="318">
        <v>198.30072000000001</v>
      </c>
      <c r="BR219" s="278">
        <v>-31.8108</v>
      </c>
      <c r="BS219" s="475">
        <v>-158.07973000000001</v>
      </c>
      <c r="BT219" s="278">
        <v>27</v>
      </c>
      <c r="BU219" s="278">
        <v>35</v>
      </c>
      <c r="BV219" s="345">
        <v>1373.9282800000001</v>
      </c>
      <c r="BX219" s="278">
        <v>2525</v>
      </c>
      <c r="BY219" s="483">
        <v>34.6</v>
      </c>
      <c r="BZ219" s="483">
        <v>-460</v>
      </c>
      <c r="CA219" s="260"/>
      <c r="CB219" s="347">
        <v>9.3000000000000007</v>
      </c>
      <c r="CC219" s="486">
        <f t="shared" si="3"/>
        <v>9.3000000000000007</v>
      </c>
      <c r="CD219" s="287"/>
      <c r="CE219" s="278"/>
      <c r="CF219" s="268"/>
      <c r="CI219" s="158">
        <v>0</v>
      </c>
      <c r="CJ219" s="343">
        <v>747.75135035322501</v>
      </c>
      <c r="CK219" s="343">
        <v>895.78771495055139</v>
      </c>
      <c r="CL219" s="343">
        <v>929.54389449124983</v>
      </c>
      <c r="CM219" s="487">
        <v>958.33255718548003</v>
      </c>
      <c r="CN219" s="487">
        <v>1118.9076638707222</v>
      </c>
      <c r="CO219" s="495">
        <v>-189.12299999999999</v>
      </c>
      <c r="CP219" s="299"/>
      <c r="CQ219" s="489">
        <v>0</v>
      </c>
      <c r="CR219" s="489">
        <v>0</v>
      </c>
    </row>
    <row r="220" spans="1:96" x14ac:dyDescent="0.2">
      <c r="A220" s="154">
        <v>698</v>
      </c>
      <c r="B220" s="156" t="s">
        <v>245</v>
      </c>
      <c r="C220" s="337">
        <v>64535</v>
      </c>
      <c r="D220" s="276">
        <v>21.5</v>
      </c>
      <c r="E220" s="185"/>
      <c r="G220" s="278">
        <v>65420.215219999998</v>
      </c>
      <c r="H220" s="278">
        <v>493390.38695000001</v>
      </c>
      <c r="I220" s="278"/>
      <c r="J220" s="278">
        <v>242624.88097</v>
      </c>
      <c r="K220" s="278">
        <v>19840.50908</v>
      </c>
      <c r="L220" s="278">
        <v>34277.90958</v>
      </c>
      <c r="M220" s="278">
        <v>296743.29963000002</v>
      </c>
      <c r="N220" s="278">
        <v>123581.462</v>
      </c>
      <c r="O220" s="278">
        <v>8280.4246299999995</v>
      </c>
      <c r="P220" s="278">
        <v>2347.7560600000002</v>
      </c>
      <c r="Q220" s="278">
        <v>13882.83606</v>
      </c>
      <c r="R220" s="278">
        <v>376.49756000000002</v>
      </c>
      <c r="S220" s="278">
        <v>11830.79933</v>
      </c>
      <c r="U220" s="278">
        <v>14852.59367</v>
      </c>
      <c r="V220" s="278">
        <v>66.769279999999995</v>
      </c>
      <c r="W220" s="278">
        <v>171.99563000000001</v>
      </c>
      <c r="X220" s="278">
        <v>-3127.0206899999998</v>
      </c>
      <c r="Y220" s="278">
        <v>-312.87584000000004</v>
      </c>
      <c r="Z220" s="278">
        <v>0</v>
      </c>
      <c r="AA220" s="278">
        <v>0</v>
      </c>
      <c r="AB220" s="278">
        <v>-2814.1448500000001</v>
      </c>
      <c r="AD220" s="278">
        <v>36057.094280000005</v>
      </c>
      <c r="AE220" s="157">
        <v>10044.522439999999</v>
      </c>
      <c r="AF220" s="184">
        <v>-1681.05054</v>
      </c>
      <c r="AG220" s="278">
        <v>-16416.738380000003</v>
      </c>
      <c r="AH220" s="278">
        <v>0</v>
      </c>
      <c r="AI220" s="184">
        <v>2274.1185399999999</v>
      </c>
      <c r="AJ220" s="278">
        <v>75144.353430000003</v>
      </c>
      <c r="AL220" s="278">
        <v>285037.49751000002</v>
      </c>
      <c r="AM220" s="184">
        <v>-559.3045699999999</v>
      </c>
      <c r="AN220" s="278">
        <v>-4971.9888200000005</v>
      </c>
      <c r="AO220" s="355">
        <v>65286</v>
      </c>
      <c r="AP220" s="344">
        <v>8.86</v>
      </c>
      <c r="AQ220" s="462"/>
      <c r="AS220" s="469">
        <v>42921.263789999997</v>
      </c>
      <c r="AT220" s="278">
        <v>213630.30138999998</v>
      </c>
      <c r="AU220" s="464"/>
      <c r="AV220" s="346">
        <v>130085.19615999999</v>
      </c>
      <c r="AW220" s="346">
        <v>13357.576929999999</v>
      </c>
      <c r="AX220" s="346">
        <v>35084.67828</v>
      </c>
      <c r="AY220" s="346">
        <v>178527.45137</v>
      </c>
      <c r="AZ220" s="346">
        <v>18718.781999999999</v>
      </c>
      <c r="BA220" s="278">
        <v>8282.557139999999</v>
      </c>
      <c r="BB220" s="345">
        <v>3004.2322400000003</v>
      </c>
      <c r="BC220" s="278">
        <v>13284.7631</v>
      </c>
      <c r="BD220" s="278">
        <v>48.160299999999999</v>
      </c>
      <c r="BE220" s="346">
        <v>45196.830609999997</v>
      </c>
      <c r="BG220" s="343">
        <v>20223.037270000001</v>
      </c>
      <c r="BH220" s="346">
        <v>0</v>
      </c>
      <c r="BI220" s="346">
        <v>0</v>
      </c>
      <c r="BJ220" s="346">
        <v>24973.79334</v>
      </c>
      <c r="BK220" s="346">
        <v>-312.87584000000004</v>
      </c>
      <c r="BL220" s="343">
        <v>17000</v>
      </c>
      <c r="BM220" s="343">
        <v>-1000</v>
      </c>
      <c r="BN220" s="346">
        <v>9286.669179999999</v>
      </c>
      <c r="BP220" s="346">
        <v>45343.763460000002</v>
      </c>
      <c r="BQ220" s="318">
        <v>41431.347099999999</v>
      </c>
      <c r="BR220" s="278">
        <v>-3765.4835099999996</v>
      </c>
      <c r="BS220" s="475">
        <v>-30172.90192</v>
      </c>
      <c r="BT220" s="278">
        <v>140.8075</v>
      </c>
      <c r="BU220" s="278">
        <v>3969.2504599999997</v>
      </c>
      <c r="BV220" s="345">
        <v>65327.388639999997</v>
      </c>
      <c r="BX220" s="278">
        <v>275091.40746999998</v>
      </c>
      <c r="BY220" s="483">
        <v>-486.70817999999997</v>
      </c>
      <c r="BZ220" s="483">
        <v>-9946.0900399999991</v>
      </c>
      <c r="CA220" s="260"/>
      <c r="CB220" s="347">
        <v>8.9</v>
      </c>
      <c r="CC220" s="486">
        <f t="shared" si="3"/>
        <v>8.9</v>
      </c>
      <c r="CD220" s="287"/>
      <c r="CE220" s="278"/>
      <c r="CF220" s="268"/>
      <c r="CI220" s="158">
        <v>0</v>
      </c>
      <c r="CJ220" s="343">
        <v>13493.212360412264</v>
      </c>
      <c r="CK220" s="343">
        <v>19176.164525780958</v>
      </c>
      <c r="CL220" s="343">
        <v>23114.073481830565</v>
      </c>
      <c r="CM220" s="487">
        <v>24386.367848470676</v>
      </c>
      <c r="CN220" s="487">
        <v>27077.657100418197</v>
      </c>
      <c r="CO220" s="495">
        <v>-3603.8530000000001</v>
      </c>
      <c r="CP220" s="299"/>
      <c r="CQ220" s="489">
        <v>37.202359999999999</v>
      </c>
      <c r="CR220" s="489">
        <v>144.70714000000001</v>
      </c>
    </row>
    <row r="221" spans="1:96" x14ac:dyDescent="0.2">
      <c r="A221" s="154">
        <v>700</v>
      </c>
      <c r="B221" s="156" t="s">
        <v>246</v>
      </c>
      <c r="C221" s="337">
        <v>4842</v>
      </c>
      <c r="D221" s="276">
        <v>20.5</v>
      </c>
      <c r="E221" s="185"/>
      <c r="G221" s="278">
        <v>6111.5226700000003</v>
      </c>
      <c r="H221" s="278">
        <v>39424.419929999996</v>
      </c>
      <c r="I221" s="278"/>
      <c r="J221" s="278">
        <v>18338.534520000001</v>
      </c>
      <c r="K221" s="278">
        <v>2721.1141499999999</v>
      </c>
      <c r="L221" s="278">
        <v>1907.1588300000001</v>
      </c>
      <c r="M221" s="278">
        <v>22966.807499999999</v>
      </c>
      <c r="N221" s="278">
        <v>12312.638000000001</v>
      </c>
      <c r="O221" s="278">
        <v>3.0373800000000002</v>
      </c>
      <c r="P221" s="278">
        <v>163.92207999999999</v>
      </c>
      <c r="Q221" s="278">
        <v>17.102689999999999</v>
      </c>
      <c r="R221" s="278">
        <v>54.238129999999998</v>
      </c>
      <c r="S221" s="278">
        <v>1768.5281</v>
      </c>
      <c r="U221" s="278">
        <v>1845.1275700000001</v>
      </c>
      <c r="V221" s="278">
        <v>0</v>
      </c>
      <c r="W221" s="278">
        <v>0</v>
      </c>
      <c r="X221" s="278">
        <v>-76.599469999999997</v>
      </c>
      <c r="Y221" s="278">
        <v>-108.64082000000001</v>
      </c>
      <c r="Z221" s="278">
        <v>0</v>
      </c>
      <c r="AA221" s="278">
        <v>0</v>
      </c>
      <c r="AB221" s="278">
        <v>32.041350000000001</v>
      </c>
      <c r="AD221" s="278">
        <v>12195.120730000001</v>
      </c>
      <c r="AE221" s="157">
        <v>1313.5281</v>
      </c>
      <c r="AF221" s="184">
        <v>-455</v>
      </c>
      <c r="AG221" s="278">
        <v>-3057.7811200000001</v>
      </c>
      <c r="AH221" s="278">
        <v>51.474640000000001</v>
      </c>
      <c r="AI221" s="184">
        <v>130.08530999999999</v>
      </c>
      <c r="AJ221" s="278">
        <v>3715.44598</v>
      </c>
      <c r="AL221" s="278">
        <v>11565.217440000002</v>
      </c>
      <c r="AM221" s="184">
        <v>0</v>
      </c>
      <c r="AN221" s="278">
        <v>-608.69564000000003</v>
      </c>
      <c r="AO221" s="355">
        <v>4758</v>
      </c>
      <c r="AP221" s="344">
        <v>7.86</v>
      </c>
      <c r="AQ221" s="462"/>
      <c r="AS221" s="469">
        <v>5043.8248800000001</v>
      </c>
      <c r="AT221" s="278">
        <v>15471.95262</v>
      </c>
      <c r="AU221" s="464"/>
      <c r="AV221" s="346">
        <v>8488.9791300000015</v>
      </c>
      <c r="AW221" s="346">
        <v>1465.1403799999998</v>
      </c>
      <c r="AX221" s="346">
        <v>1955.53574</v>
      </c>
      <c r="AY221" s="346">
        <v>11909.65525</v>
      </c>
      <c r="AZ221" s="346">
        <v>932.95</v>
      </c>
      <c r="BA221" s="278">
        <v>191.90576999999999</v>
      </c>
      <c r="BB221" s="345">
        <v>408.17483000000004</v>
      </c>
      <c r="BC221" s="278">
        <v>18.609310000000001</v>
      </c>
      <c r="BD221" s="278">
        <v>3.5447700000000002</v>
      </c>
      <c r="BE221" s="346">
        <v>2213.2729900000004</v>
      </c>
      <c r="BG221" s="343">
        <v>3799.3865499999997</v>
      </c>
      <c r="BH221" s="343">
        <v>0</v>
      </c>
      <c r="BI221" s="343">
        <v>0</v>
      </c>
      <c r="BJ221" s="346">
        <v>-1586.11356</v>
      </c>
      <c r="BK221" s="346">
        <v>-108.33202</v>
      </c>
      <c r="BL221" s="346">
        <v>0</v>
      </c>
      <c r="BM221" s="343">
        <v>0</v>
      </c>
      <c r="BN221" s="346">
        <v>-1477.7815399999999</v>
      </c>
      <c r="BP221" s="346">
        <v>10717.339190000001</v>
      </c>
      <c r="BQ221" s="318">
        <v>2213.5039900000002</v>
      </c>
      <c r="BR221" s="278">
        <v>0</v>
      </c>
      <c r="BS221" s="475">
        <v>-1459.67156</v>
      </c>
      <c r="BT221" s="278">
        <v>0</v>
      </c>
      <c r="BU221" s="278">
        <v>2.8688099999999999</v>
      </c>
      <c r="BV221" s="345">
        <v>2858.5938599999999</v>
      </c>
      <c r="BX221" s="278">
        <v>10956.5218</v>
      </c>
      <c r="BY221" s="483">
        <v>0</v>
      </c>
      <c r="BZ221" s="483">
        <v>-608.69564000000003</v>
      </c>
      <c r="CA221" s="260"/>
      <c r="CB221" s="347">
        <v>8.6</v>
      </c>
      <c r="CC221" s="486">
        <f t="shared" si="3"/>
        <v>8.6</v>
      </c>
      <c r="CD221" s="287"/>
      <c r="CE221" s="278"/>
      <c r="CF221" s="268"/>
      <c r="CI221" s="158">
        <v>0</v>
      </c>
      <c r="CJ221" s="343">
        <v>940.91543244720469</v>
      </c>
      <c r="CK221" s="343">
        <v>1529.889220778336</v>
      </c>
      <c r="CL221" s="343">
        <v>1445.132426037811</v>
      </c>
      <c r="CM221" s="487">
        <v>1301.4778239478469</v>
      </c>
      <c r="CN221" s="487">
        <v>1819.5795849992328</v>
      </c>
      <c r="CO221" s="495">
        <v>-1111.895</v>
      </c>
      <c r="CP221" s="299"/>
      <c r="CQ221" s="489">
        <v>0</v>
      </c>
      <c r="CR221" s="489">
        <v>0</v>
      </c>
    </row>
    <row r="222" spans="1:96" x14ac:dyDescent="0.2">
      <c r="A222" s="154">
        <v>702</v>
      </c>
      <c r="B222" s="156" t="s">
        <v>247</v>
      </c>
      <c r="C222" s="337">
        <v>4114</v>
      </c>
      <c r="D222" s="276">
        <v>22</v>
      </c>
      <c r="E222" s="185"/>
      <c r="G222" s="278">
        <v>3852.2795799999999</v>
      </c>
      <c r="H222" s="278">
        <v>35625.846579999998</v>
      </c>
      <c r="I222" s="278"/>
      <c r="J222" s="278">
        <v>13445.828230000001</v>
      </c>
      <c r="K222" s="278">
        <v>2655.6058399999997</v>
      </c>
      <c r="L222" s="278">
        <v>1927.8907199999999</v>
      </c>
      <c r="M222" s="278">
        <v>18029.324789999999</v>
      </c>
      <c r="N222" s="278">
        <v>14927.851000000001</v>
      </c>
      <c r="O222" s="278">
        <v>20.808669999999999</v>
      </c>
      <c r="P222" s="278">
        <v>146.41210000000001</v>
      </c>
      <c r="Q222" s="278">
        <v>131.36978999999999</v>
      </c>
      <c r="R222" s="278">
        <v>1.01658</v>
      </c>
      <c r="S222" s="278">
        <v>1188.3585700000001</v>
      </c>
      <c r="U222" s="278">
        <v>1329.5604599999999</v>
      </c>
      <c r="V222" s="278">
        <v>3.5028600000000001</v>
      </c>
      <c r="W222" s="278">
        <v>0</v>
      </c>
      <c r="X222" s="278">
        <v>-137.69902999999999</v>
      </c>
      <c r="Y222" s="278">
        <v>-32.617400000000004</v>
      </c>
      <c r="Z222" s="278">
        <v>0</v>
      </c>
      <c r="AA222" s="278">
        <v>0</v>
      </c>
      <c r="AB222" s="278">
        <v>-105.08163</v>
      </c>
      <c r="AD222" s="278">
        <v>3927.3541500000001</v>
      </c>
      <c r="AE222" s="157">
        <v>1112.0576999999998</v>
      </c>
      <c r="AF222" s="184">
        <v>-14.776299999999999</v>
      </c>
      <c r="AG222" s="278">
        <v>-801.02356000000009</v>
      </c>
      <c r="AH222" s="278">
        <v>0</v>
      </c>
      <c r="AI222" s="184">
        <v>24.006</v>
      </c>
      <c r="AJ222" s="278">
        <v>2395.8355799999999</v>
      </c>
      <c r="AL222" s="278">
        <v>6815.766169999999</v>
      </c>
      <c r="AM222" s="184">
        <v>-4.0309999999999997</v>
      </c>
      <c r="AN222" s="278">
        <v>-828.84996999999998</v>
      </c>
      <c r="AO222" s="355">
        <v>4124</v>
      </c>
      <c r="AP222" s="344">
        <v>9.36</v>
      </c>
      <c r="AQ222" s="462"/>
      <c r="AS222" s="469">
        <v>3728.3176800000001</v>
      </c>
      <c r="AT222" s="278">
        <v>14122.187029999999</v>
      </c>
      <c r="AU222" s="464"/>
      <c r="AV222" s="346">
        <v>6805.79565</v>
      </c>
      <c r="AW222" s="346">
        <v>1563.10673</v>
      </c>
      <c r="AX222" s="346">
        <v>2006.7965300000001</v>
      </c>
      <c r="AY222" s="346">
        <v>10375.698910000001</v>
      </c>
      <c r="AZ222" s="346">
        <v>1881.271</v>
      </c>
      <c r="BA222" s="278">
        <v>38.383720000000004</v>
      </c>
      <c r="BB222" s="345">
        <v>239.34941000000001</v>
      </c>
      <c r="BC222" s="278">
        <v>82.030179999999987</v>
      </c>
      <c r="BD222" s="278">
        <v>13.06549</v>
      </c>
      <c r="BE222" s="346">
        <v>1731.0995600000001</v>
      </c>
      <c r="BG222" s="343">
        <v>1331.20712</v>
      </c>
      <c r="BH222" s="343">
        <v>0</v>
      </c>
      <c r="BI222" s="343">
        <v>0</v>
      </c>
      <c r="BJ222" s="346">
        <v>399.89244000000002</v>
      </c>
      <c r="BK222" s="346">
        <v>-31.079830000000001</v>
      </c>
      <c r="BL222" s="343">
        <v>320</v>
      </c>
      <c r="BM222" s="343">
        <v>0</v>
      </c>
      <c r="BN222" s="346">
        <v>110.97227000000001</v>
      </c>
      <c r="BP222" s="346">
        <v>4262.3901699999997</v>
      </c>
      <c r="BQ222" s="318">
        <v>1731.0995600000001</v>
      </c>
      <c r="BR222" s="278">
        <v>0</v>
      </c>
      <c r="BS222" s="475">
        <v>-1011.69052</v>
      </c>
      <c r="BT222" s="278">
        <v>0</v>
      </c>
      <c r="BU222" s="278">
        <v>0</v>
      </c>
      <c r="BV222" s="345">
        <v>3923.33898</v>
      </c>
      <c r="BX222" s="278">
        <v>7063.2069499999998</v>
      </c>
      <c r="BY222" s="483">
        <v>74.08793</v>
      </c>
      <c r="BZ222" s="483">
        <v>-93.890699999999995</v>
      </c>
      <c r="CA222" s="260"/>
      <c r="CB222" s="347">
        <v>9.4</v>
      </c>
      <c r="CC222" s="486">
        <f t="shared" si="3"/>
        <v>9.4</v>
      </c>
      <c r="CD222" s="287"/>
      <c r="CE222" s="278"/>
      <c r="CF222" s="268"/>
      <c r="CG222" s="266"/>
      <c r="CI222" s="158">
        <v>500</v>
      </c>
      <c r="CJ222" s="343">
        <v>1870.8246117587069</v>
      </c>
      <c r="CK222" s="343">
        <v>2411.3585028950338</v>
      </c>
      <c r="CL222" s="343">
        <v>2602.5244986807711</v>
      </c>
      <c r="CM222" s="487">
        <v>2469.494632880198</v>
      </c>
      <c r="CN222" s="487">
        <v>2989.4646896275808</v>
      </c>
      <c r="CO222" s="495">
        <v>-821.678</v>
      </c>
      <c r="CP222" s="299"/>
      <c r="CQ222" s="489">
        <v>0</v>
      </c>
      <c r="CR222" s="489">
        <v>0</v>
      </c>
    </row>
    <row r="223" spans="1:96" x14ac:dyDescent="0.2">
      <c r="A223" s="154">
        <v>704</v>
      </c>
      <c r="B223" s="156" t="s">
        <v>248</v>
      </c>
      <c r="C223" s="337">
        <v>6428</v>
      </c>
      <c r="D223" s="276">
        <v>19.75</v>
      </c>
      <c r="E223" s="185"/>
      <c r="G223" s="278">
        <v>4674.4181699999999</v>
      </c>
      <c r="H223" s="278">
        <v>38603.018450000003</v>
      </c>
      <c r="I223" s="278"/>
      <c r="J223" s="278">
        <v>25231.03399</v>
      </c>
      <c r="K223" s="278">
        <v>1768.1146100000001</v>
      </c>
      <c r="L223" s="278">
        <v>1287.0720800000001</v>
      </c>
      <c r="M223" s="278">
        <v>28286.220679999999</v>
      </c>
      <c r="N223" s="278">
        <v>7764.308</v>
      </c>
      <c r="O223" s="278">
        <v>16.62997</v>
      </c>
      <c r="P223" s="278">
        <v>37.426430000000003</v>
      </c>
      <c r="Q223" s="278">
        <v>76.812699999999992</v>
      </c>
      <c r="R223" s="278">
        <v>0.61427999999999994</v>
      </c>
      <c r="S223" s="278">
        <v>2177.3303599999999</v>
      </c>
      <c r="U223" s="278">
        <v>1765.3382900000001</v>
      </c>
      <c r="V223" s="278">
        <v>0</v>
      </c>
      <c r="W223" s="278">
        <v>0</v>
      </c>
      <c r="X223" s="278">
        <v>411.99207000000001</v>
      </c>
      <c r="Y223" s="278">
        <v>-18.921340000000001</v>
      </c>
      <c r="Z223" s="278">
        <v>0</v>
      </c>
      <c r="AA223" s="278">
        <v>0</v>
      </c>
      <c r="AB223" s="278">
        <v>430.91341</v>
      </c>
      <c r="AD223" s="278">
        <v>17037.463169999999</v>
      </c>
      <c r="AE223" s="157">
        <v>2004.9155000000001</v>
      </c>
      <c r="AF223" s="184">
        <v>-172.41485999999998</v>
      </c>
      <c r="AG223" s="278">
        <v>-3061.7871099999998</v>
      </c>
      <c r="AH223" s="278">
        <v>9</v>
      </c>
      <c r="AI223" s="184">
        <v>192.738</v>
      </c>
      <c r="AJ223" s="278">
        <v>5568.2909800000007</v>
      </c>
      <c r="AL223" s="278">
        <v>7789.5999999999995</v>
      </c>
      <c r="AM223" s="184">
        <v>0</v>
      </c>
      <c r="AN223" s="278">
        <v>51.2</v>
      </c>
      <c r="AO223" s="355">
        <v>6436</v>
      </c>
      <c r="AP223" s="344">
        <v>7.1100000000000012</v>
      </c>
      <c r="AQ223" s="462"/>
      <c r="AS223" s="469">
        <v>3966.9737700000001</v>
      </c>
      <c r="AT223" s="278">
        <v>20811.173220000001</v>
      </c>
      <c r="AU223" s="464"/>
      <c r="AV223" s="346">
        <v>11718.852650000001</v>
      </c>
      <c r="AW223" s="346">
        <v>1013.12126</v>
      </c>
      <c r="AX223" s="346">
        <v>1300.1113700000001</v>
      </c>
      <c r="AY223" s="346">
        <v>14032.085279999999</v>
      </c>
      <c r="AZ223" s="346">
        <v>5317.8810000000003</v>
      </c>
      <c r="BA223" s="278">
        <v>1.5088499999999998</v>
      </c>
      <c r="BB223" s="345">
        <v>249.09164999999999</v>
      </c>
      <c r="BC223" s="278">
        <v>48.41581</v>
      </c>
      <c r="BD223" s="278">
        <v>2.0232600000000001</v>
      </c>
      <c r="BE223" s="346">
        <v>2304.5765799999999</v>
      </c>
      <c r="BG223" s="343">
        <v>2311.1386000000002</v>
      </c>
      <c r="BH223" s="343">
        <v>0</v>
      </c>
      <c r="BI223" s="343">
        <v>0</v>
      </c>
      <c r="BJ223" s="346">
        <v>-6.5620200000000004</v>
      </c>
      <c r="BK223" s="343">
        <v>-18.921340000000001</v>
      </c>
      <c r="BL223" s="343">
        <v>0</v>
      </c>
      <c r="BM223" s="343">
        <v>0</v>
      </c>
      <c r="BN223" s="346">
        <v>12.35932</v>
      </c>
      <c r="BP223" s="346">
        <v>17049.822490000002</v>
      </c>
      <c r="BQ223" s="318">
        <v>2301.8994300000004</v>
      </c>
      <c r="BR223" s="278">
        <v>-2.6771500000000001</v>
      </c>
      <c r="BS223" s="475">
        <v>-2620.6871499999997</v>
      </c>
      <c r="BT223" s="278">
        <v>0</v>
      </c>
      <c r="BU223" s="278">
        <v>266.90577000000002</v>
      </c>
      <c r="BV223" s="345">
        <v>6298.0732800000005</v>
      </c>
      <c r="BX223" s="278">
        <v>6890.8</v>
      </c>
      <c r="BY223" s="483">
        <v>0</v>
      </c>
      <c r="BZ223" s="483">
        <v>-898.8</v>
      </c>
      <c r="CA223" s="260"/>
      <c r="CB223" s="347">
        <v>7.1</v>
      </c>
      <c r="CC223" s="486">
        <f t="shared" si="3"/>
        <v>7.1</v>
      </c>
      <c r="CD223" s="287"/>
      <c r="CE223" s="278"/>
      <c r="CF223" s="268"/>
      <c r="CI223" s="158">
        <v>0</v>
      </c>
      <c r="CJ223" s="343">
        <v>5601.6151249085133</v>
      </c>
      <c r="CK223" s="343">
        <v>5468.4055183936425</v>
      </c>
      <c r="CL223" s="343">
        <v>6244.2205205404462</v>
      </c>
      <c r="CM223" s="487">
        <v>6648.5511751444546</v>
      </c>
      <c r="CN223" s="487">
        <v>6916.4510014823545</v>
      </c>
      <c r="CO223" s="495">
        <v>-1115.771</v>
      </c>
      <c r="CP223" s="299"/>
      <c r="CQ223" s="489">
        <v>0</v>
      </c>
      <c r="CR223" s="489">
        <v>0</v>
      </c>
    </row>
    <row r="224" spans="1:96" ht="12.75" x14ac:dyDescent="0.2">
      <c r="A224" s="154">
        <v>707</v>
      </c>
      <c r="B224" s="156" t="s">
        <v>249</v>
      </c>
      <c r="C224" s="337">
        <v>1960</v>
      </c>
      <c r="D224" s="276">
        <v>21.500000000000004</v>
      </c>
      <c r="E224" s="185"/>
      <c r="G224" s="278">
        <v>3320.1606299999999</v>
      </c>
      <c r="H224" s="278">
        <v>18057.441739999998</v>
      </c>
      <c r="I224" s="278"/>
      <c r="J224" s="278">
        <v>5112.60455</v>
      </c>
      <c r="K224" s="278">
        <v>821.98633999999993</v>
      </c>
      <c r="L224" s="278">
        <v>682.14469999999994</v>
      </c>
      <c r="M224" s="278">
        <v>6616.7355900000002</v>
      </c>
      <c r="N224" s="278">
        <v>9963.4840000000004</v>
      </c>
      <c r="O224" s="278">
        <v>64.382310000000004</v>
      </c>
      <c r="P224" s="278">
        <v>57.498400000000004</v>
      </c>
      <c r="Q224" s="278">
        <v>91.832940000000008</v>
      </c>
      <c r="R224" s="278">
        <v>5.5380500000000001</v>
      </c>
      <c r="S224" s="278">
        <v>1936.1172799999999</v>
      </c>
      <c r="U224" s="278">
        <v>299.58822999999995</v>
      </c>
      <c r="V224" s="278">
        <v>0</v>
      </c>
      <c r="W224" s="278">
        <v>0</v>
      </c>
      <c r="X224" s="278">
        <v>1636.5290500000001</v>
      </c>
      <c r="Y224" s="278">
        <v>0</v>
      </c>
      <c r="Z224" s="278">
        <v>0</v>
      </c>
      <c r="AA224" s="278">
        <v>0</v>
      </c>
      <c r="AB224" s="278">
        <v>1636.5290500000001</v>
      </c>
      <c r="AD224" s="278">
        <v>1720.5782799999999</v>
      </c>
      <c r="AE224" s="157">
        <v>698.98116000000005</v>
      </c>
      <c r="AF224" s="184">
        <v>-1237.1361200000001</v>
      </c>
      <c r="AG224" s="278">
        <v>-416.16428000000002</v>
      </c>
      <c r="AH224" s="278">
        <v>0</v>
      </c>
      <c r="AI224" s="184">
        <v>1282.99999</v>
      </c>
      <c r="AJ224" s="278">
        <v>2432.9461900000001</v>
      </c>
      <c r="AL224" s="278">
        <v>5176.5659999999998</v>
      </c>
      <c r="AM224" s="184">
        <v>63.789970000000004</v>
      </c>
      <c r="AN224" s="278">
        <v>-676.04399999999998</v>
      </c>
      <c r="AO224" s="355">
        <v>1902</v>
      </c>
      <c r="AP224" s="344">
        <v>8.86</v>
      </c>
      <c r="AQ224" s="462"/>
      <c r="AS224" s="469">
        <v>1635.1068</v>
      </c>
      <c r="AT224" s="278">
        <v>6024.06988</v>
      </c>
      <c r="AU224" s="464"/>
      <c r="AV224" s="346">
        <v>2503.7602700000002</v>
      </c>
      <c r="AW224" s="346">
        <v>475.6302</v>
      </c>
      <c r="AX224" s="346">
        <v>683.82366999999999</v>
      </c>
      <c r="AY224" s="346">
        <v>3663.21414</v>
      </c>
      <c r="AZ224" s="346">
        <v>1562.8620000000001</v>
      </c>
      <c r="BA224" s="278">
        <v>75.51773</v>
      </c>
      <c r="BB224" s="345">
        <v>74.992929999999987</v>
      </c>
      <c r="BC224" s="278">
        <v>92.893419999999992</v>
      </c>
      <c r="BD224" s="278">
        <v>0.13632</v>
      </c>
      <c r="BE224" s="346">
        <v>930.39495999999997</v>
      </c>
      <c r="BG224" s="343">
        <v>290.97253999999998</v>
      </c>
      <c r="BH224" s="343">
        <v>0</v>
      </c>
      <c r="BI224" s="343">
        <v>0</v>
      </c>
      <c r="BJ224" s="346">
        <v>639.42241999999999</v>
      </c>
      <c r="BK224" s="346">
        <v>0</v>
      </c>
      <c r="BL224" s="346">
        <v>0</v>
      </c>
      <c r="BM224" s="343">
        <v>0</v>
      </c>
      <c r="BN224" s="346">
        <v>639.42241999999999</v>
      </c>
      <c r="BP224" s="346">
        <v>2360.0007000000001</v>
      </c>
      <c r="BQ224" s="318">
        <v>931.21987000000001</v>
      </c>
      <c r="BR224" s="278">
        <v>0.82490999999999992</v>
      </c>
      <c r="BS224" s="475">
        <v>-640.04906000000005</v>
      </c>
      <c r="BT224" s="278">
        <v>191.25200000000001</v>
      </c>
      <c r="BU224" s="278">
        <v>13.53309</v>
      </c>
      <c r="BV224" s="472">
        <v>1005.5261899999999</v>
      </c>
      <c r="BX224" s="278">
        <v>3815.5219999999999</v>
      </c>
      <c r="BY224" s="483">
        <v>77.775030000000001</v>
      </c>
      <c r="BZ224" s="483">
        <v>-1361.0440000000001</v>
      </c>
      <c r="CA224" s="260"/>
      <c r="CB224" s="347">
        <v>8.9000000000000021</v>
      </c>
      <c r="CC224" s="486">
        <f t="shared" si="3"/>
        <v>8.9000000000000021</v>
      </c>
      <c r="CD224" s="287"/>
      <c r="CE224" s="278"/>
      <c r="CF224" s="268"/>
      <c r="CG224" s="266"/>
      <c r="CI224" s="158">
        <v>390</v>
      </c>
      <c r="CJ224" s="343">
        <v>768.50755558524327</v>
      </c>
      <c r="CK224" s="343">
        <v>1064.829679310928</v>
      </c>
      <c r="CL224" s="343">
        <v>1086.1156708438657</v>
      </c>
      <c r="CM224" s="487">
        <v>1112.905877132629</v>
      </c>
      <c r="CN224" s="487">
        <v>1468.2092642773528</v>
      </c>
      <c r="CO224" s="495">
        <v>-569.84900000000005</v>
      </c>
      <c r="CP224" s="299"/>
      <c r="CQ224" s="489">
        <v>0</v>
      </c>
      <c r="CR224" s="489">
        <v>0</v>
      </c>
    </row>
    <row r="225" spans="1:96" x14ac:dyDescent="0.2">
      <c r="A225" s="154">
        <v>729</v>
      </c>
      <c r="B225" s="156" t="s">
        <v>250</v>
      </c>
      <c r="C225" s="337">
        <v>8975</v>
      </c>
      <c r="D225" s="276">
        <v>22.000000000000004</v>
      </c>
      <c r="E225" s="185"/>
      <c r="G225" s="278">
        <v>10860.329589999999</v>
      </c>
      <c r="H225" s="278">
        <v>76183.793769999989</v>
      </c>
      <c r="I225" s="278"/>
      <c r="J225" s="278">
        <v>27566.858609999999</v>
      </c>
      <c r="K225" s="278">
        <v>3430.6115</v>
      </c>
      <c r="L225" s="278">
        <v>2613.3192200000003</v>
      </c>
      <c r="M225" s="278">
        <v>33610.78933</v>
      </c>
      <c r="N225" s="278">
        <v>36205.262000000002</v>
      </c>
      <c r="O225" s="278">
        <v>11.79241</v>
      </c>
      <c r="P225" s="278">
        <v>53.743589999999998</v>
      </c>
      <c r="Q225" s="278">
        <v>28.706869999999999</v>
      </c>
      <c r="R225" s="278">
        <v>0.25557000000000002</v>
      </c>
      <c r="S225" s="278">
        <v>4479.08727</v>
      </c>
      <c r="U225" s="278">
        <v>3286.2240400000001</v>
      </c>
      <c r="V225" s="278">
        <v>0</v>
      </c>
      <c r="W225" s="278">
        <v>0</v>
      </c>
      <c r="X225" s="278">
        <v>1192.8632299999999</v>
      </c>
      <c r="Y225" s="278">
        <v>0</v>
      </c>
      <c r="Z225" s="278">
        <v>0</v>
      </c>
      <c r="AA225" s="278">
        <v>0</v>
      </c>
      <c r="AB225" s="278">
        <v>1192.8632299999999</v>
      </c>
      <c r="AD225" s="278">
        <v>6718.7075700000005</v>
      </c>
      <c r="AE225" s="157">
        <v>3648.6318999999999</v>
      </c>
      <c r="AF225" s="184">
        <v>-830.45537000000002</v>
      </c>
      <c r="AG225" s="278">
        <v>-2275.3562299999999</v>
      </c>
      <c r="AH225" s="278">
        <v>1.8341800000000001</v>
      </c>
      <c r="AI225" s="184">
        <v>389.57742999999999</v>
      </c>
      <c r="AJ225" s="278">
        <v>1685.62393</v>
      </c>
      <c r="AL225" s="278">
        <v>3736.6084299999998</v>
      </c>
      <c r="AM225" s="184">
        <v>-2.0514699999999997</v>
      </c>
      <c r="AN225" s="278">
        <v>-5926.6643099999992</v>
      </c>
      <c r="AO225" s="355">
        <v>8847</v>
      </c>
      <c r="AP225" s="344">
        <v>9.36</v>
      </c>
      <c r="AQ225" s="462"/>
      <c r="AS225" s="469">
        <v>9660.8517200000006</v>
      </c>
      <c r="AT225" s="278">
        <v>32752.137620000001</v>
      </c>
      <c r="AU225" s="464"/>
      <c r="AV225" s="346">
        <v>14012.284589999999</v>
      </c>
      <c r="AW225" s="346">
        <v>2128.3275199999998</v>
      </c>
      <c r="AX225" s="346">
        <v>3146.6698999999999</v>
      </c>
      <c r="AY225" s="346">
        <v>19287.282010000003</v>
      </c>
      <c r="AZ225" s="346">
        <v>8781.7469999999994</v>
      </c>
      <c r="BA225" s="278">
        <v>42.247250000000001</v>
      </c>
      <c r="BB225" s="345">
        <v>102.91203999999999</v>
      </c>
      <c r="BC225" s="278">
        <v>34.21293</v>
      </c>
      <c r="BD225" s="278">
        <v>12.809100000000001</v>
      </c>
      <c r="BE225" s="346">
        <v>4938.4821500000007</v>
      </c>
      <c r="BG225" s="343">
        <v>4026.5246299999999</v>
      </c>
      <c r="BH225" s="343">
        <v>0</v>
      </c>
      <c r="BI225" s="343">
        <v>0</v>
      </c>
      <c r="BJ225" s="346">
        <v>911.95752000000005</v>
      </c>
      <c r="BK225" s="346">
        <v>0</v>
      </c>
      <c r="BL225" s="346">
        <v>0</v>
      </c>
      <c r="BM225" s="343">
        <v>0</v>
      </c>
      <c r="BN225" s="346">
        <v>911.95752000000005</v>
      </c>
      <c r="BP225" s="346">
        <v>7630.6650900000004</v>
      </c>
      <c r="BQ225" s="318">
        <v>3974.3133199999997</v>
      </c>
      <c r="BR225" s="278">
        <v>-964.16882999999996</v>
      </c>
      <c r="BS225" s="475">
        <v>-2200.7727999999997</v>
      </c>
      <c r="BT225" s="278">
        <v>13.4</v>
      </c>
      <c r="BU225" s="278">
        <v>2339.4814700000002</v>
      </c>
      <c r="BV225" s="345">
        <v>3830.69985</v>
      </c>
      <c r="BX225" s="278">
        <v>2518.9795100000001</v>
      </c>
      <c r="BY225" s="483">
        <v>-29.597060000000003</v>
      </c>
      <c r="BZ225" s="483">
        <v>-1217.6289299999999</v>
      </c>
      <c r="CA225" s="260"/>
      <c r="CB225" s="347">
        <v>9.3000000000000007</v>
      </c>
      <c r="CC225" s="486">
        <f t="shared" si="3"/>
        <v>9.3000000000000007</v>
      </c>
      <c r="CD225" s="287"/>
      <c r="CE225" s="278"/>
      <c r="CF225" s="268"/>
      <c r="CI225" s="158">
        <v>0</v>
      </c>
      <c r="CJ225" s="343">
        <v>7258.3563396998707</v>
      </c>
      <c r="CK225" s="343">
        <v>8076.9315726717377</v>
      </c>
      <c r="CL225" s="343">
        <v>8604.3531935687024</v>
      </c>
      <c r="CM225" s="487">
        <v>8704.997141965503</v>
      </c>
      <c r="CN225" s="487">
        <v>9896.8947658590369</v>
      </c>
      <c r="CO225" s="495">
        <v>224.18899999999999</v>
      </c>
      <c r="CP225" s="299"/>
      <c r="CQ225" s="489">
        <v>0</v>
      </c>
      <c r="CR225" s="489">
        <v>0</v>
      </c>
    </row>
    <row r="226" spans="1:96" x14ac:dyDescent="0.2">
      <c r="A226" s="154">
        <v>732</v>
      </c>
      <c r="B226" s="156" t="s">
        <v>251</v>
      </c>
      <c r="C226" s="337">
        <v>3336</v>
      </c>
      <c r="D226" s="276">
        <v>20.25</v>
      </c>
      <c r="E226" s="185"/>
      <c r="G226" s="278">
        <v>9130.5372200000002</v>
      </c>
      <c r="H226" s="278">
        <v>39878.740810000003</v>
      </c>
      <c r="I226" s="278"/>
      <c r="J226" s="278">
        <v>9794.8813200000004</v>
      </c>
      <c r="K226" s="278">
        <v>1795.5509</v>
      </c>
      <c r="L226" s="278">
        <v>1382.4514999999999</v>
      </c>
      <c r="M226" s="278">
        <v>12972.88372</v>
      </c>
      <c r="N226" s="278">
        <v>21738.245999999999</v>
      </c>
      <c r="O226" s="278">
        <v>36.773249999999997</v>
      </c>
      <c r="P226" s="278">
        <v>93.421469999999999</v>
      </c>
      <c r="Q226" s="278">
        <v>701.74779000000001</v>
      </c>
      <c r="R226" s="278">
        <v>3.80036</v>
      </c>
      <c r="S226" s="278">
        <v>4604.22534</v>
      </c>
      <c r="U226" s="278">
        <v>1408.3546000000001</v>
      </c>
      <c r="V226" s="278">
        <v>0</v>
      </c>
      <c r="W226" s="278">
        <v>0</v>
      </c>
      <c r="X226" s="278">
        <v>3195.8707400000003</v>
      </c>
      <c r="Y226" s="278">
        <v>0</v>
      </c>
      <c r="Z226" s="278">
        <v>0</v>
      </c>
      <c r="AA226" s="278">
        <v>0</v>
      </c>
      <c r="AB226" s="278">
        <v>3195.8707400000003</v>
      </c>
      <c r="AD226" s="278">
        <v>13422.691409999999</v>
      </c>
      <c r="AE226" s="157">
        <v>4433.9898200000007</v>
      </c>
      <c r="AF226" s="184">
        <v>-170.23551999999998</v>
      </c>
      <c r="AG226" s="278">
        <v>-2779.9946299999997</v>
      </c>
      <c r="AH226" s="278">
        <v>62.192589999999996</v>
      </c>
      <c r="AI226" s="184">
        <v>219.96</v>
      </c>
      <c r="AJ226" s="278">
        <v>3754.0725400000001</v>
      </c>
      <c r="AL226" s="278">
        <v>12011.177589999999</v>
      </c>
      <c r="AM226" s="184">
        <v>152.44220000000001</v>
      </c>
      <c r="AN226" s="278">
        <v>-1624.2253500000002</v>
      </c>
      <c r="AO226" s="355">
        <v>3344</v>
      </c>
      <c r="AP226" s="344">
        <v>7.61</v>
      </c>
      <c r="AQ226" s="462"/>
      <c r="AS226" s="469">
        <v>4129.5086300000003</v>
      </c>
      <c r="AT226" s="278">
        <v>14343.62724</v>
      </c>
      <c r="AU226" s="464"/>
      <c r="AV226" s="346">
        <v>4543.8080300000001</v>
      </c>
      <c r="AW226" s="346">
        <v>1016.5881400000001</v>
      </c>
      <c r="AX226" s="346">
        <v>1304.4806599999999</v>
      </c>
      <c r="AY226" s="346">
        <v>6864.8768300000002</v>
      </c>
      <c r="AZ226" s="346">
        <v>4793.1540000000005</v>
      </c>
      <c r="BA226" s="278">
        <v>53.623370000000001</v>
      </c>
      <c r="BB226" s="345">
        <v>266.11075</v>
      </c>
      <c r="BC226" s="278">
        <v>24.054680000000001</v>
      </c>
      <c r="BD226" s="278">
        <v>4.9853399999999999</v>
      </c>
      <c r="BE226" s="346">
        <v>1250.4941799999999</v>
      </c>
      <c r="BG226" s="343">
        <v>1537.068</v>
      </c>
      <c r="BH226" s="343">
        <v>0</v>
      </c>
      <c r="BI226" s="343">
        <v>0</v>
      </c>
      <c r="BJ226" s="346">
        <v>-286.57382000000001</v>
      </c>
      <c r="BK226" s="343">
        <v>0</v>
      </c>
      <c r="BL226" s="343">
        <v>0</v>
      </c>
      <c r="BM226" s="343">
        <v>0</v>
      </c>
      <c r="BN226" s="346">
        <v>-286.57382000000001</v>
      </c>
      <c r="BP226" s="346">
        <v>13042.5808</v>
      </c>
      <c r="BQ226" s="318">
        <v>1155.4941799999999</v>
      </c>
      <c r="BR226" s="278">
        <v>-95</v>
      </c>
      <c r="BS226" s="475">
        <v>-2622.3678799999998</v>
      </c>
      <c r="BT226" s="278">
        <v>36.366</v>
      </c>
      <c r="BU226" s="278">
        <v>95</v>
      </c>
      <c r="BV226" s="345">
        <v>1528.90453</v>
      </c>
      <c r="BX226" s="278">
        <v>13320.452960000001</v>
      </c>
      <c r="BY226" s="483">
        <v>152.44220000000001</v>
      </c>
      <c r="BZ226" s="483">
        <v>1309.2753700000001</v>
      </c>
      <c r="CA226" s="260"/>
      <c r="CB226" s="347">
        <v>8.6</v>
      </c>
      <c r="CC226" s="486">
        <f t="shared" si="3"/>
        <v>8.6</v>
      </c>
      <c r="CD226" s="287"/>
      <c r="CE226" s="278"/>
      <c r="CF226" s="268"/>
      <c r="CI226" s="158">
        <v>0</v>
      </c>
      <c r="CJ226" s="343">
        <v>4541.6559581940373</v>
      </c>
      <c r="CK226" s="343">
        <v>4861.8887356050054</v>
      </c>
      <c r="CL226" s="343">
        <v>5174.94001612996</v>
      </c>
      <c r="CM226" s="487">
        <v>5114.1877846142861</v>
      </c>
      <c r="CN226" s="487">
        <v>5687.7850999456077</v>
      </c>
      <c r="CO226" s="495">
        <v>210.62899999999999</v>
      </c>
      <c r="CP226" s="299"/>
      <c r="CQ226" s="489">
        <v>0</v>
      </c>
      <c r="CR226" s="489">
        <v>0</v>
      </c>
    </row>
    <row r="227" spans="1:96" x14ac:dyDescent="0.2">
      <c r="A227" s="154">
        <v>734</v>
      </c>
      <c r="B227" s="156" t="s">
        <v>252</v>
      </c>
      <c r="C227" s="337">
        <v>50933</v>
      </c>
      <c r="D227" s="276">
        <v>20.75</v>
      </c>
      <c r="E227" s="185"/>
      <c r="G227" s="278">
        <v>54820.586130000003</v>
      </c>
      <c r="H227" s="278">
        <v>379522.87714</v>
      </c>
      <c r="I227" s="278"/>
      <c r="J227" s="278">
        <v>181340.57834000001</v>
      </c>
      <c r="K227" s="278">
        <v>19065.64388</v>
      </c>
      <c r="L227" s="278">
        <v>15392.411910000001</v>
      </c>
      <c r="M227" s="278">
        <v>215798.63412999999</v>
      </c>
      <c r="N227" s="278">
        <v>131431.26199999999</v>
      </c>
      <c r="O227" s="278">
        <v>554.17115999999999</v>
      </c>
      <c r="P227" s="278">
        <v>919.92858999999999</v>
      </c>
      <c r="Q227" s="278">
        <v>2283.61618</v>
      </c>
      <c r="R227" s="278">
        <v>-2.5231300000000001</v>
      </c>
      <c r="S227" s="278">
        <v>24447.987000000001</v>
      </c>
      <c r="U227" s="278">
        <v>15992.24719</v>
      </c>
      <c r="V227" s="278">
        <v>0</v>
      </c>
      <c r="W227" s="278">
        <v>0</v>
      </c>
      <c r="X227" s="278">
        <v>8455.7398100000009</v>
      </c>
      <c r="Y227" s="278">
        <v>-534.52445999999998</v>
      </c>
      <c r="Z227" s="278">
        <v>0</v>
      </c>
      <c r="AA227" s="278">
        <v>0</v>
      </c>
      <c r="AB227" s="278">
        <v>8990.2642699999997</v>
      </c>
      <c r="AD227" s="278">
        <v>28432.203460000001</v>
      </c>
      <c r="AE227" s="157">
        <v>24351.29867</v>
      </c>
      <c r="AF227" s="184">
        <v>-96.688330000000008</v>
      </c>
      <c r="AG227" s="278">
        <v>-14353.315130000001</v>
      </c>
      <c r="AH227" s="278">
        <v>435</v>
      </c>
      <c r="AI227" s="184">
        <v>868.72845999999993</v>
      </c>
      <c r="AJ227" s="278">
        <v>20671.366819999999</v>
      </c>
      <c r="AL227" s="278">
        <v>84655.962249999982</v>
      </c>
      <c r="AM227" s="184">
        <v>413.61326000000003</v>
      </c>
      <c r="AN227" s="278">
        <v>-16546.717430000001</v>
      </c>
      <c r="AO227" s="355">
        <v>51100</v>
      </c>
      <c r="AP227" s="344">
        <v>8.11</v>
      </c>
      <c r="AQ227" s="462"/>
      <c r="AS227" s="469">
        <v>37999.986790000003</v>
      </c>
      <c r="AT227" s="278">
        <v>153089.58674</v>
      </c>
      <c r="AU227" s="464"/>
      <c r="AV227" s="346">
        <v>89138.097569999998</v>
      </c>
      <c r="AW227" s="346">
        <v>13113.366300000002</v>
      </c>
      <c r="AX227" s="346">
        <v>15448.53491</v>
      </c>
      <c r="AY227" s="346">
        <v>117699.99877999999</v>
      </c>
      <c r="AZ227" s="346">
        <v>28261.679</v>
      </c>
      <c r="BA227" s="278">
        <v>554.95393000000001</v>
      </c>
      <c r="BB227" s="345">
        <v>1319.01747</v>
      </c>
      <c r="BC227" s="278">
        <v>2566.0146600000003</v>
      </c>
      <c r="BD227" s="278">
        <v>1.77223</v>
      </c>
      <c r="BE227" s="346">
        <v>32672.256719999998</v>
      </c>
      <c r="BG227" s="343">
        <v>17679.541430000001</v>
      </c>
      <c r="BH227" s="343">
        <v>566.06681999999989</v>
      </c>
      <c r="BI227" s="343">
        <v>0</v>
      </c>
      <c r="BJ227" s="346">
        <v>15558.78211</v>
      </c>
      <c r="BK227" s="343">
        <v>-534.52445999999998</v>
      </c>
      <c r="BL227" s="343">
        <v>0</v>
      </c>
      <c r="BM227" s="346">
        <v>0</v>
      </c>
      <c r="BN227" s="346">
        <v>16093.306570000001</v>
      </c>
      <c r="BP227" s="346">
        <v>44525.510030000005</v>
      </c>
      <c r="BQ227" s="318">
        <v>33308.573899999996</v>
      </c>
      <c r="BR227" s="278">
        <v>70.250360000000001</v>
      </c>
      <c r="BS227" s="475">
        <v>-11125.40092</v>
      </c>
      <c r="BT227" s="278">
        <v>299.36327</v>
      </c>
      <c r="BU227" s="278">
        <v>227.49787000000001</v>
      </c>
      <c r="BV227" s="345">
        <v>9173.5794000000005</v>
      </c>
      <c r="BX227" s="278">
        <v>60474.096910000007</v>
      </c>
      <c r="BY227" s="483">
        <v>343.94310999999999</v>
      </c>
      <c r="BZ227" s="483">
        <v>-29909.151899999997</v>
      </c>
      <c r="CA227" s="260"/>
      <c r="CB227" s="347">
        <v>8.1</v>
      </c>
      <c r="CC227" s="486">
        <f t="shared" si="3"/>
        <v>8.1</v>
      </c>
      <c r="CD227" s="287"/>
      <c r="CE227" s="278"/>
      <c r="CF227" s="268"/>
      <c r="CG227" s="266"/>
      <c r="CI227" s="158">
        <v>0</v>
      </c>
      <c r="CJ227" s="343">
        <v>26515.661751011026</v>
      </c>
      <c r="CK227" s="343">
        <v>30639.905648703498</v>
      </c>
      <c r="CL227" s="343">
        <v>31240.512633691847</v>
      </c>
      <c r="CM227" s="487">
        <v>30460.300964594961</v>
      </c>
      <c r="CN227" s="487">
        <v>33270.362338311264</v>
      </c>
      <c r="CO227" s="495">
        <v>-994.20399999999995</v>
      </c>
      <c r="CP227" s="299"/>
      <c r="CQ227" s="489">
        <v>0</v>
      </c>
      <c r="CR227" s="489">
        <v>0</v>
      </c>
    </row>
    <row r="228" spans="1:96" x14ac:dyDescent="0.2">
      <c r="A228" s="154">
        <v>790</v>
      </c>
      <c r="B228" s="156" t="s">
        <v>353</v>
      </c>
      <c r="C228" s="337">
        <v>23734</v>
      </c>
      <c r="D228" s="276">
        <v>21.500000000000004</v>
      </c>
      <c r="E228" s="185"/>
      <c r="G228" s="278">
        <v>43249.308259999998</v>
      </c>
      <c r="H228" s="278">
        <v>196853.64491</v>
      </c>
      <c r="I228" s="278"/>
      <c r="J228" s="278">
        <v>81489.744059999997</v>
      </c>
      <c r="K228" s="278">
        <v>8282.5291500000003</v>
      </c>
      <c r="L228" s="278">
        <v>6244.7793000000001</v>
      </c>
      <c r="M228" s="278">
        <v>96017.052510000009</v>
      </c>
      <c r="N228" s="278">
        <v>75845.032000000007</v>
      </c>
      <c r="O228" s="278">
        <v>2.6535900000000003</v>
      </c>
      <c r="P228" s="278">
        <v>333.15037999999998</v>
      </c>
      <c r="Q228" s="278">
        <v>672.85140999999999</v>
      </c>
      <c r="R228" s="278">
        <v>101.77321000000001</v>
      </c>
      <c r="S228" s="278">
        <v>18966.76598</v>
      </c>
      <c r="U228" s="278">
        <v>12002.60593</v>
      </c>
      <c r="V228" s="278">
        <v>0</v>
      </c>
      <c r="W228" s="278">
        <v>0</v>
      </c>
      <c r="X228" s="278">
        <v>6964.1600499999995</v>
      </c>
      <c r="Y228" s="278">
        <v>-376.87995000000001</v>
      </c>
      <c r="Z228" s="278">
        <v>3000</v>
      </c>
      <c r="AA228" s="278">
        <v>0</v>
      </c>
      <c r="AB228" s="278">
        <v>4341.04</v>
      </c>
      <c r="AD228" s="278">
        <v>32227.027239999999</v>
      </c>
      <c r="AE228" s="157">
        <v>18347.67021</v>
      </c>
      <c r="AF228" s="184">
        <v>-619.09577000000002</v>
      </c>
      <c r="AG228" s="278">
        <v>-12353.833259999999</v>
      </c>
      <c r="AH228" s="278">
        <v>58.070809999999994</v>
      </c>
      <c r="AI228" s="184">
        <v>1126.66957</v>
      </c>
      <c r="AJ228" s="278">
        <v>36522.477100000004</v>
      </c>
      <c r="AL228" s="278">
        <v>54478.937800000007</v>
      </c>
      <c r="AM228" s="184">
        <v>90.777690000000007</v>
      </c>
      <c r="AN228" s="278">
        <v>-3435.2952</v>
      </c>
      <c r="AO228" s="355">
        <v>23515</v>
      </c>
      <c r="AP228" s="344">
        <v>8.86</v>
      </c>
      <c r="AQ228" s="462"/>
      <c r="AS228" s="469">
        <v>29759.352569999999</v>
      </c>
      <c r="AT228" s="278">
        <v>82800.647239999991</v>
      </c>
      <c r="AU228" s="464"/>
      <c r="AV228" s="346">
        <v>40835.310299999997</v>
      </c>
      <c r="AW228" s="346">
        <v>5362.01055</v>
      </c>
      <c r="AX228" s="346">
        <v>6744.7506900000008</v>
      </c>
      <c r="AY228" s="346">
        <v>52942.071539999997</v>
      </c>
      <c r="AZ228" s="346">
        <v>18412.649000000001</v>
      </c>
      <c r="BA228" s="278">
        <v>32.073700000000002</v>
      </c>
      <c r="BB228" s="345">
        <v>754.79717000000005</v>
      </c>
      <c r="BC228" s="278">
        <v>223.20457000000002</v>
      </c>
      <c r="BD228" s="278">
        <v>2.14602</v>
      </c>
      <c r="BE228" s="346">
        <v>18274.322</v>
      </c>
      <c r="BG228" s="343">
        <v>8780.1629499999999</v>
      </c>
      <c r="BH228" s="343">
        <v>0</v>
      </c>
      <c r="BI228" s="343">
        <v>0</v>
      </c>
      <c r="BJ228" s="346">
        <v>9494.1590500000002</v>
      </c>
      <c r="BK228" s="343">
        <v>2324.873</v>
      </c>
      <c r="BL228" s="346">
        <v>1376.78739</v>
      </c>
      <c r="BM228" s="343">
        <v>0</v>
      </c>
      <c r="BN228" s="346">
        <v>5792.4986600000002</v>
      </c>
      <c r="BP228" s="346">
        <v>38019.525900000001</v>
      </c>
      <c r="BQ228" s="318">
        <v>18111.991249999999</v>
      </c>
      <c r="BR228" s="278">
        <v>-162.33074999999999</v>
      </c>
      <c r="BS228" s="475">
        <v>-14031.94514</v>
      </c>
      <c r="BT228" s="278">
        <v>147.417</v>
      </c>
      <c r="BU228" s="278">
        <v>694.91711999999995</v>
      </c>
      <c r="BV228" s="345">
        <v>30556.412649999998</v>
      </c>
      <c r="BX228" s="278">
        <v>52381.517599999999</v>
      </c>
      <c r="BY228" s="483">
        <v>-550.06673999999998</v>
      </c>
      <c r="BZ228" s="483">
        <v>-2097.4202</v>
      </c>
      <c r="CA228" s="260"/>
      <c r="CB228" s="347">
        <v>8.9</v>
      </c>
      <c r="CC228" s="486">
        <f t="shared" si="3"/>
        <v>8.9</v>
      </c>
      <c r="CD228" s="287"/>
      <c r="CE228" s="278"/>
      <c r="CF228" s="268"/>
      <c r="CI228" s="158">
        <v>0</v>
      </c>
      <c r="CJ228" s="343">
        <v>16228.821766029529</v>
      </c>
      <c r="CK228" s="343">
        <v>16545.133494136175</v>
      </c>
      <c r="CL228" s="343">
        <v>16751.784785211574</v>
      </c>
      <c r="CM228" s="487">
        <v>16553.17665734909</v>
      </c>
      <c r="CN228" s="487">
        <v>18900.015778798759</v>
      </c>
      <c r="CO228" s="495">
        <v>-2019.99</v>
      </c>
      <c r="CP228" s="299"/>
      <c r="CQ228" s="489">
        <v>468.43671000000001</v>
      </c>
      <c r="CR228" s="489">
        <v>462.56104999999997</v>
      </c>
    </row>
    <row r="229" spans="1:96" x14ac:dyDescent="0.2">
      <c r="A229" s="154">
        <v>738</v>
      </c>
      <c r="B229" s="156" t="s">
        <v>253</v>
      </c>
      <c r="C229" s="337">
        <v>2917</v>
      </c>
      <c r="D229" s="276">
        <v>21.5</v>
      </c>
      <c r="E229" s="185"/>
      <c r="G229" s="278">
        <v>2349.8132400000004</v>
      </c>
      <c r="H229" s="278">
        <v>19518.708500000001</v>
      </c>
      <c r="I229" s="278"/>
      <c r="J229" s="278">
        <v>10797.53073</v>
      </c>
      <c r="K229" s="278">
        <v>821.55124000000001</v>
      </c>
      <c r="L229" s="278">
        <v>1270.65157</v>
      </c>
      <c r="M229" s="278">
        <v>12889.733539999999</v>
      </c>
      <c r="N229" s="278">
        <v>5458.2719999999999</v>
      </c>
      <c r="O229" s="278">
        <v>38.983969999999999</v>
      </c>
      <c r="P229" s="278">
        <v>53.672919999999998</v>
      </c>
      <c r="Q229" s="278">
        <v>45.57358</v>
      </c>
      <c r="R229" s="278">
        <v>1.7419800000000001</v>
      </c>
      <c r="S229" s="278">
        <v>1208.2529299999999</v>
      </c>
      <c r="U229" s="278">
        <v>680.35481000000004</v>
      </c>
      <c r="V229" s="278">
        <v>0</v>
      </c>
      <c r="W229" s="278">
        <v>0</v>
      </c>
      <c r="X229" s="278">
        <v>527.89811999999995</v>
      </c>
      <c r="Y229" s="278">
        <v>0</v>
      </c>
      <c r="Z229" s="278">
        <v>0</v>
      </c>
      <c r="AA229" s="278">
        <v>0</v>
      </c>
      <c r="AB229" s="278">
        <v>527.89811999999995</v>
      </c>
      <c r="AD229" s="278">
        <v>4980.4903500000009</v>
      </c>
      <c r="AE229" s="157">
        <v>1208.2529</v>
      </c>
      <c r="AF229" s="184">
        <v>0</v>
      </c>
      <c r="AG229" s="278">
        <v>-864.04480000000001</v>
      </c>
      <c r="AH229" s="278">
        <v>0</v>
      </c>
      <c r="AI229" s="184">
        <v>0</v>
      </c>
      <c r="AJ229" s="278">
        <v>755.82580000000019</v>
      </c>
      <c r="AL229" s="278">
        <v>10572.896000000001</v>
      </c>
      <c r="AM229" s="184">
        <v>0</v>
      </c>
      <c r="AN229" s="278">
        <v>-481.05200000000002</v>
      </c>
      <c r="AO229" s="355">
        <v>2974</v>
      </c>
      <c r="AP229" s="344">
        <v>8.8600000000000012</v>
      </c>
      <c r="AQ229" s="462"/>
      <c r="AS229" s="469">
        <v>2002.31204</v>
      </c>
      <c r="AT229" s="278">
        <v>9507.9588999999996</v>
      </c>
      <c r="AU229" s="464"/>
      <c r="AV229" s="346">
        <v>5489.2181700000001</v>
      </c>
      <c r="AW229" s="346">
        <v>556.399</v>
      </c>
      <c r="AX229" s="346">
        <v>1314.6168400000001</v>
      </c>
      <c r="AY229" s="346">
        <v>7360.2340100000001</v>
      </c>
      <c r="AZ229" s="346">
        <v>1502.4179999999999</v>
      </c>
      <c r="BA229" s="278">
        <v>26.576650000000001</v>
      </c>
      <c r="BB229" s="345">
        <v>249.89044000000001</v>
      </c>
      <c r="BC229" s="278">
        <v>8.2588699999999999</v>
      </c>
      <c r="BD229" s="278">
        <v>2.2160100000000003</v>
      </c>
      <c r="BE229" s="346">
        <v>1139.7342200000001</v>
      </c>
      <c r="BG229" s="343">
        <v>698.91577000000007</v>
      </c>
      <c r="BH229" s="343">
        <v>0</v>
      </c>
      <c r="BI229" s="343">
        <v>0</v>
      </c>
      <c r="BJ229" s="346">
        <v>440.81844999999998</v>
      </c>
      <c r="BK229" s="346">
        <v>0</v>
      </c>
      <c r="BL229" s="343">
        <v>0</v>
      </c>
      <c r="BM229" s="346">
        <v>0</v>
      </c>
      <c r="BN229" s="346">
        <v>440.81844999999998</v>
      </c>
      <c r="BP229" s="346">
        <v>5421.3087999999998</v>
      </c>
      <c r="BQ229" s="318">
        <v>1110.7739999999999</v>
      </c>
      <c r="BR229" s="278">
        <v>-28.96</v>
      </c>
      <c r="BS229" s="475">
        <v>-1083.2909999999999</v>
      </c>
      <c r="BT229" s="278">
        <v>0</v>
      </c>
      <c r="BU229" s="278">
        <v>637.33799999999997</v>
      </c>
      <c r="BV229" s="345">
        <v>633.36099999999999</v>
      </c>
      <c r="BX229" s="278">
        <v>10236.843999999999</v>
      </c>
      <c r="BY229" s="483">
        <v>0</v>
      </c>
      <c r="BZ229" s="483">
        <v>-336.05200000000002</v>
      </c>
      <c r="CA229" s="260"/>
      <c r="CB229" s="347">
        <v>8.8000000000000007</v>
      </c>
      <c r="CC229" s="486">
        <f t="shared" si="3"/>
        <v>8.8000000000000007</v>
      </c>
      <c r="CD229" s="287"/>
      <c r="CE229" s="278"/>
      <c r="CF229" s="268"/>
      <c r="CI229" s="158">
        <v>0</v>
      </c>
      <c r="CJ229" s="343">
        <v>1505.6136362312729</v>
      </c>
      <c r="CK229" s="343">
        <v>1928.7947324680738</v>
      </c>
      <c r="CL229" s="343">
        <v>1843.8740178826522</v>
      </c>
      <c r="CM229" s="487">
        <v>1908.2306233823363</v>
      </c>
      <c r="CN229" s="487">
        <v>1961.1834878265438</v>
      </c>
      <c r="CO229" s="495">
        <v>-481.91199999999998</v>
      </c>
      <c r="CP229" s="299"/>
      <c r="CQ229" s="489">
        <v>0</v>
      </c>
      <c r="CR229" s="489">
        <v>0</v>
      </c>
    </row>
    <row r="230" spans="1:96" x14ac:dyDescent="0.2">
      <c r="A230" s="154">
        <v>739</v>
      </c>
      <c r="B230" s="156" t="s">
        <v>254</v>
      </c>
      <c r="C230" s="337">
        <v>3256</v>
      </c>
      <c r="D230" s="276">
        <v>21.5</v>
      </c>
      <c r="E230" s="185"/>
      <c r="G230" s="278">
        <v>3506.4719300000002</v>
      </c>
      <c r="H230" s="278">
        <v>28892.30514</v>
      </c>
      <c r="I230" s="278"/>
      <c r="J230" s="278">
        <v>10155.950339999999</v>
      </c>
      <c r="K230" s="278">
        <v>1520.0394899999999</v>
      </c>
      <c r="L230" s="278">
        <v>1467.1404499999999</v>
      </c>
      <c r="M230" s="278">
        <v>13143.130279999999</v>
      </c>
      <c r="N230" s="278">
        <v>13885.406999999999</v>
      </c>
      <c r="O230" s="278">
        <v>24.175009999999997</v>
      </c>
      <c r="P230" s="278">
        <v>50.373669999999997</v>
      </c>
      <c r="Q230" s="278">
        <v>9.5244300000000006</v>
      </c>
      <c r="R230" s="278">
        <v>3.2348000000000003</v>
      </c>
      <c r="S230" s="278">
        <v>1627.0729199999998</v>
      </c>
      <c r="U230" s="278">
        <v>1027.0155099999999</v>
      </c>
      <c r="V230" s="278">
        <v>0</v>
      </c>
      <c r="W230" s="278">
        <v>0</v>
      </c>
      <c r="X230" s="278">
        <v>600.05741</v>
      </c>
      <c r="Y230" s="278">
        <v>0</v>
      </c>
      <c r="Z230" s="278">
        <v>0</v>
      </c>
      <c r="AA230" s="278">
        <v>0</v>
      </c>
      <c r="AB230" s="278">
        <v>600.05741</v>
      </c>
      <c r="AD230" s="278">
        <v>8244.22163</v>
      </c>
      <c r="AE230" s="157">
        <v>949.66831000000002</v>
      </c>
      <c r="AF230" s="184">
        <v>-677.40460999999993</v>
      </c>
      <c r="AG230" s="278">
        <v>-1038.6347800000001</v>
      </c>
      <c r="AH230" s="278">
        <v>0</v>
      </c>
      <c r="AI230" s="184">
        <v>6.39</v>
      </c>
      <c r="AJ230" s="278">
        <v>5177.8673099999996</v>
      </c>
      <c r="AL230" s="278">
        <v>4684.39084</v>
      </c>
      <c r="AM230" s="184">
        <v>65.791320000000013</v>
      </c>
      <c r="AN230" s="278">
        <v>-611.48775999999998</v>
      </c>
      <c r="AO230" s="355">
        <v>3216</v>
      </c>
      <c r="AP230" s="344">
        <v>8.86</v>
      </c>
      <c r="AQ230" s="462"/>
      <c r="AS230" s="469">
        <v>3238.3692000000001</v>
      </c>
      <c r="AT230" s="278">
        <v>13094.88847</v>
      </c>
      <c r="AU230" s="464"/>
      <c r="AV230" s="346">
        <v>5217.8079200000002</v>
      </c>
      <c r="AW230" s="346">
        <v>845.16876000000002</v>
      </c>
      <c r="AX230" s="346">
        <v>1485.07843</v>
      </c>
      <c r="AY230" s="346">
        <v>7548.0551100000002</v>
      </c>
      <c r="AZ230" s="346">
        <v>4696.3450000000003</v>
      </c>
      <c r="BA230" s="278">
        <v>30.020509999999998</v>
      </c>
      <c r="BB230" s="345">
        <v>87.65961999999999</v>
      </c>
      <c r="BC230" s="278">
        <v>16.171399999999998</v>
      </c>
      <c r="BD230" s="278">
        <v>5.5034399999999994</v>
      </c>
      <c r="BE230" s="346">
        <v>2342.9619400000001</v>
      </c>
      <c r="BG230" s="343">
        <v>1508.4164900000001</v>
      </c>
      <c r="BH230" s="346">
        <v>0</v>
      </c>
      <c r="BI230" s="346">
        <v>1333.1738799999998</v>
      </c>
      <c r="BJ230" s="346">
        <v>-498.62842999999998</v>
      </c>
      <c r="BK230" s="346">
        <v>0</v>
      </c>
      <c r="BL230" s="343">
        <v>0</v>
      </c>
      <c r="BM230" s="343">
        <v>0</v>
      </c>
      <c r="BN230" s="346">
        <v>-498.62842999999998</v>
      </c>
      <c r="BP230" s="346">
        <v>7745.5932000000003</v>
      </c>
      <c r="BQ230" s="318">
        <v>1030.3688299999999</v>
      </c>
      <c r="BR230" s="278">
        <v>20.580770000000001</v>
      </c>
      <c r="BS230" s="475">
        <v>-1406.1081200000001</v>
      </c>
      <c r="BT230" s="278">
        <v>7.8769499999999999</v>
      </c>
      <c r="BU230" s="278">
        <v>22.984000000000002</v>
      </c>
      <c r="BV230" s="345">
        <v>2914.8816400000001</v>
      </c>
      <c r="BX230" s="278">
        <v>4072.9030799999996</v>
      </c>
      <c r="BY230" s="483">
        <v>37.171219999999998</v>
      </c>
      <c r="BZ230" s="483">
        <v>-611.48775999999998</v>
      </c>
      <c r="CA230" s="260"/>
      <c r="CB230" s="347">
        <v>8.9</v>
      </c>
      <c r="CC230" s="486">
        <f t="shared" si="3"/>
        <v>8.9</v>
      </c>
      <c r="CD230" s="287"/>
      <c r="CE230" s="278"/>
      <c r="CF230" s="268"/>
      <c r="CI230" s="158">
        <v>0</v>
      </c>
      <c r="CJ230" s="343">
        <v>4091.3707394720732</v>
      </c>
      <c r="CK230" s="343">
        <v>4458.9811284050211</v>
      </c>
      <c r="CL230" s="343">
        <v>4089.4717602266464</v>
      </c>
      <c r="CM230" s="487">
        <v>4058.6603620691944</v>
      </c>
      <c r="CN230" s="487">
        <v>4538.0371492801396</v>
      </c>
      <c r="CO230" s="495">
        <v>417.64699999999999</v>
      </c>
      <c r="CP230" s="299"/>
      <c r="CQ230" s="489">
        <v>4.2778799999999997</v>
      </c>
      <c r="CR230" s="489">
        <v>2.0522499999999999</v>
      </c>
    </row>
    <row r="231" spans="1:96" x14ac:dyDescent="0.2">
      <c r="A231" s="154">
        <v>740</v>
      </c>
      <c r="B231" s="156" t="s">
        <v>255</v>
      </c>
      <c r="C231" s="337">
        <v>32085</v>
      </c>
      <c r="D231" s="276">
        <v>22</v>
      </c>
      <c r="E231" s="185"/>
      <c r="G231" s="278">
        <v>25952.563340000001</v>
      </c>
      <c r="H231" s="278">
        <v>256056.10352999999</v>
      </c>
      <c r="I231" s="278"/>
      <c r="J231" s="278">
        <v>117866.22540000001</v>
      </c>
      <c r="K231" s="278">
        <v>14945.90566</v>
      </c>
      <c r="L231" s="278">
        <v>14022.38283</v>
      </c>
      <c r="M231" s="278">
        <v>146834.51388999997</v>
      </c>
      <c r="N231" s="278">
        <v>98090.657000000007</v>
      </c>
      <c r="O231" s="278">
        <v>28.171040000000001</v>
      </c>
      <c r="P231" s="278">
        <v>384.37941999999998</v>
      </c>
      <c r="Q231" s="278">
        <v>1277.46396</v>
      </c>
      <c r="R231" s="278">
        <v>32.883510000000001</v>
      </c>
      <c r="S231" s="278">
        <v>15710.002769999999</v>
      </c>
      <c r="U231" s="278">
        <v>10953.295840000001</v>
      </c>
      <c r="V231" s="278">
        <v>943.40638000000001</v>
      </c>
      <c r="W231" s="278">
        <v>89.332729999999998</v>
      </c>
      <c r="X231" s="278">
        <v>5610.7805799999996</v>
      </c>
      <c r="Y231" s="278">
        <v>-25.679639999999999</v>
      </c>
      <c r="Z231" s="278">
        <v>0</v>
      </c>
      <c r="AA231" s="278">
        <v>0</v>
      </c>
      <c r="AB231" s="278">
        <v>5636.4602199999999</v>
      </c>
      <c r="AD231" s="278">
        <v>28659.378900000003</v>
      </c>
      <c r="AE231" s="157">
        <v>16981.402440000002</v>
      </c>
      <c r="AF231" s="184">
        <v>417.32601</v>
      </c>
      <c r="AG231" s="278">
        <v>-25584.405309999998</v>
      </c>
      <c r="AH231" s="278">
        <v>62.916899999999998</v>
      </c>
      <c r="AI231" s="184">
        <v>495.21264000000002</v>
      </c>
      <c r="AJ231" s="278">
        <v>6922.4402</v>
      </c>
      <c r="AL231" s="278">
        <v>95393.125</v>
      </c>
      <c r="AM231" s="184">
        <v>111.85772999999999</v>
      </c>
      <c r="AN231" s="278">
        <v>-1296.55</v>
      </c>
      <c r="AO231" s="355">
        <v>31843</v>
      </c>
      <c r="AP231" s="344">
        <v>9.36</v>
      </c>
      <c r="AQ231" s="462"/>
      <c r="AS231" s="469">
        <v>26787.981489999998</v>
      </c>
      <c r="AT231" s="278">
        <v>97974.00301</v>
      </c>
      <c r="AU231" s="464"/>
      <c r="AV231" s="346">
        <v>60249.373780000002</v>
      </c>
      <c r="AW231" s="346">
        <v>9649.8221699999995</v>
      </c>
      <c r="AX231" s="346">
        <v>14478.800539999998</v>
      </c>
      <c r="AY231" s="346">
        <v>84377.99648999999</v>
      </c>
      <c r="AZ231" s="346">
        <v>10662.728999999999</v>
      </c>
      <c r="BA231" s="278">
        <v>185.75073999999998</v>
      </c>
      <c r="BB231" s="345">
        <v>2340.2577799999999</v>
      </c>
      <c r="BC231" s="278">
        <v>1289.53898</v>
      </c>
      <c r="BD231" s="278">
        <v>204.69623999999999</v>
      </c>
      <c r="BE231" s="346">
        <v>22785.039670000002</v>
      </c>
      <c r="BG231" s="343">
        <v>10611.68216</v>
      </c>
      <c r="BH231" s="346">
        <v>0</v>
      </c>
      <c r="BI231" s="343">
        <v>0</v>
      </c>
      <c r="BJ231" s="346">
        <v>12173.35751</v>
      </c>
      <c r="BK231" s="343">
        <v>-25.679639999999999</v>
      </c>
      <c r="BL231" s="343">
        <v>0</v>
      </c>
      <c r="BM231" s="343">
        <v>0</v>
      </c>
      <c r="BN231" s="346">
        <v>12199.03715</v>
      </c>
      <c r="BP231" s="346">
        <v>40858.41605</v>
      </c>
      <c r="BQ231" s="318">
        <v>20496.04679</v>
      </c>
      <c r="BR231" s="278">
        <v>-2288.9928799999998</v>
      </c>
      <c r="BS231" s="475">
        <v>-22257.577109999998</v>
      </c>
      <c r="BT231" s="278">
        <v>41.186500000000002</v>
      </c>
      <c r="BU231" s="278">
        <v>1234.7817700000001</v>
      </c>
      <c r="BV231" s="345">
        <v>1294.80207</v>
      </c>
      <c r="BX231" s="278">
        <v>110296.575</v>
      </c>
      <c r="BY231" s="483">
        <v>157.39573000000001</v>
      </c>
      <c r="BZ231" s="483">
        <v>14903.45</v>
      </c>
      <c r="CA231" s="260"/>
      <c r="CB231" s="347">
        <v>9.3000000000000007</v>
      </c>
      <c r="CC231" s="486">
        <f t="shared" si="3"/>
        <v>9.3000000000000007</v>
      </c>
      <c r="CD231" s="287"/>
      <c r="CE231" s="278"/>
      <c r="CF231" s="268"/>
      <c r="CI231" s="158">
        <v>0</v>
      </c>
      <c r="CJ231" s="343">
        <v>4429.3715683215378</v>
      </c>
      <c r="CK231" s="343">
        <v>6827.3140672996378</v>
      </c>
      <c r="CL231" s="343">
        <v>8158.0464701729852</v>
      </c>
      <c r="CM231" s="487">
        <v>8519.3812959689585</v>
      </c>
      <c r="CN231" s="487">
        <v>12233.720419696616</v>
      </c>
      <c r="CO231" s="495">
        <v>-1288.4760000000001</v>
      </c>
      <c r="CP231" s="299"/>
      <c r="CQ231" s="489">
        <v>0</v>
      </c>
      <c r="CR231" s="489">
        <v>0</v>
      </c>
    </row>
    <row r="232" spans="1:96" x14ac:dyDescent="0.2">
      <c r="A232" s="154">
        <v>742</v>
      </c>
      <c r="B232" s="156" t="s">
        <v>256</v>
      </c>
      <c r="C232" s="337">
        <v>988</v>
      </c>
      <c r="D232" s="276">
        <v>21.750000000000004</v>
      </c>
      <c r="E232" s="185"/>
      <c r="G232" s="278">
        <v>1516.1756399999999</v>
      </c>
      <c r="H232" s="278">
        <v>10815</v>
      </c>
      <c r="I232" s="278"/>
      <c r="J232" s="278">
        <v>3180.14032</v>
      </c>
      <c r="K232" s="278">
        <v>1575.8624</v>
      </c>
      <c r="L232" s="278">
        <v>367.72964000000002</v>
      </c>
      <c r="M232" s="278">
        <v>5123.73236</v>
      </c>
      <c r="N232" s="278">
        <v>4899</v>
      </c>
      <c r="O232" s="278">
        <v>0</v>
      </c>
      <c r="P232" s="278">
        <v>6.8262499999999999</v>
      </c>
      <c r="Q232" s="278">
        <v>162.30121</v>
      </c>
      <c r="R232" s="278">
        <v>10.828959999999999</v>
      </c>
      <c r="S232" s="278">
        <v>891</v>
      </c>
      <c r="U232" s="278">
        <v>230</v>
      </c>
      <c r="V232" s="278">
        <v>0</v>
      </c>
      <c r="W232" s="278">
        <v>0</v>
      </c>
      <c r="X232" s="278">
        <v>661</v>
      </c>
      <c r="Y232" s="278">
        <v>-8</v>
      </c>
      <c r="Z232" s="278">
        <v>0</v>
      </c>
      <c r="AA232" s="278">
        <v>0</v>
      </c>
      <c r="AB232" s="278">
        <v>669</v>
      </c>
      <c r="AD232" s="278">
        <v>2589</v>
      </c>
      <c r="AE232" s="157">
        <v>891</v>
      </c>
      <c r="AF232" s="184">
        <v>0</v>
      </c>
      <c r="AG232" s="278">
        <v>-368</v>
      </c>
      <c r="AH232" s="278">
        <v>0</v>
      </c>
      <c r="AI232" s="184">
        <v>0</v>
      </c>
      <c r="AJ232" s="278">
        <v>2422.576</v>
      </c>
      <c r="AL232" s="278">
        <v>1136</v>
      </c>
      <c r="AM232" s="184">
        <v>-5.5740000000000005E-2</v>
      </c>
      <c r="AN232" s="278">
        <v>54.146000000000001</v>
      </c>
      <c r="AO232" s="355">
        <v>978</v>
      </c>
      <c r="AP232" s="344">
        <v>9.11</v>
      </c>
      <c r="AQ232" s="462"/>
      <c r="AS232" s="469">
        <v>1275.9801299999999</v>
      </c>
      <c r="AT232" s="278">
        <v>5349.47786</v>
      </c>
      <c r="AU232" s="464"/>
      <c r="AV232" s="346">
        <v>1749.36941</v>
      </c>
      <c r="AW232" s="346">
        <v>848.70983000000001</v>
      </c>
      <c r="AX232" s="346">
        <v>430.10563999999999</v>
      </c>
      <c r="AY232" s="346">
        <v>3028.1848799999998</v>
      </c>
      <c r="AZ232" s="346">
        <v>1403.2</v>
      </c>
      <c r="BA232" s="278">
        <v>0</v>
      </c>
      <c r="BB232" s="345">
        <v>15.39615</v>
      </c>
      <c r="BC232" s="278">
        <v>11.60826</v>
      </c>
      <c r="BD232" s="278">
        <v>2.2519099999999996</v>
      </c>
      <c r="BE232" s="346">
        <v>351.84734999999995</v>
      </c>
      <c r="BG232" s="343">
        <v>212.01014000000001</v>
      </c>
      <c r="BH232" s="343">
        <v>0</v>
      </c>
      <c r="BI232" s="343">
        <v>3.4066000000000001</v>
      </c>
      <c r="BJ232" s="346">
        <v>136.43060999999997</v>
      </c>
      <c r="BK232" s="343">
        <v>-8.4093900000000001</v>
      </c>
      <c r="BL232" s="343">
        <v>0</v>
      </c>
      <c r="BM232" s="343">
        <v>0</v>
      </c>
      <c r="BN232" s="346">
        <v>144.84</v>
      </c>
      <c r="BP232" s="346">
        <v>2634.5737400000003</v>
      </c>
      <c r="BQ232" s="318">
        <v>173.84679</v>
      </c>
      <c r="BR232" s="278">
        <v>-1.9341600000000001</v>
      </c>
      <c r="BS232" s="475">
        <v>-370.79124000000002</v>
      </c>
      <c r="BT232" s="278">
        <v>0</v>
      </c>
      <c r="BU232" s="278">
        <v>0</v>
      </c>
      <c r="BV232" s="345">
        <v>2031.7541799999999</v>
      </c>
      <c r="BX232" s="278">
        <v>930.18999999999994</v>
      </c>
      <c r="BY232" s="483">
        <v>0</v>
      </c>
      <c r="BZ232" s="483">
        <v>-217.60400000000001</v>
      </c>
      <c r="CA232" s="260"/>
      <c r="CB232" s="347">
        <v>9.1</v>
      </c>
      <c r="CC232" s="486">
        <f t="shared" si="3"/>
        <v>9.1</v>
      </c>
      <c r="CD232" s="287"/>
      <c r="CE232" s="278"/>
      <c r="CF232" s="268"/>
      <c r="CG232" s="266"/>
      <c r="CI232" s="158">
        <v>0</v>
      </c>
      <c r="CJ232" s="343">
        <v>1662.9308822981634</v>
      </c>
      <c r="CK232" s="343">
        <v>1897.5539718906257</v>
      </c>
      <c r="CL232" s="343">
        <v>1997.2828796528458</v>
      </c>
      <c r="CM232" s="487">
        <v>2051.5385367654144</v>
      </c>
      <c r="CN232" s="487">
        <v>2172.901536489464</v>
      </c>
      <c r="CO232" s="495">
        <v>406.339</v>
      </c>
      <c r="CP232" s="299"/>
      <c r="CQ232" s="489">
        <v>0</v>
      </c>
      <c r="CR232" s="489">
        <v>0</v>
      </c>
    </row>
    <row r="233" spans="1:96" x14ac:dyDescent="0.2">
      <c r="A233" s="154">
        <v>743</v>
      </c>
      <c r="B233" s="156" t="s">
        <v>257</v>
      </c>
      <c r="C233" s="337">
        <v>65323</v>
      </c>
      <c r="D233" s="276">
        <v>21</v>
      </c>
      <c r="E233" s="185"/>
      <c r="G233" s="278">
        <v>96149.07329</v>
      </c>
      <c r="H233" s="278">
        <v>492606.80320999998</v>
      </c>
      <c r="I233" s="278"/>
      <c r="J233" s="278">
        <v>250921.03990999999</v>
      </c>
      <c r="K233" s="278">
        <v>26305.416510000003</v>
      </c>
      <c r="L233" s="278">
        <v>29045.828879999997</v>
      </c>
      <c r="M233" s="278">
        <v>306272.28529999999</v>
      </c>
      <c r="N233" s="278">
        <v>123666.113</v>
      </c>
      <c r="O233" s="278">
        <v>5011.9672199999995</v>
      </c>
      <c r="P233" s="278">
        <v>2145.66111</v>
      </c>
      <c r="Q233" s="278">
        <v>5522.2884100000001</v>
      </c>
      <c r="R233" s="278">
        <v>336.90246000000002</v>
      </c>
      <c r="S233" s="278">
        <v>41532.360439999997</v>
      </c>
      <c r="U233" s="278">
        <v>25229.530320000002</v>
      </c>
      <c r="V233" s="278">
        <v>0</v>
      </c>
      <c r="W233" s="278">
        <v>0</v>
      </c>
      <c r="X233" s="278">
        <v>16302.830119999999</v>
      </c>
      <c r="Y233" s="278">
        <v>-34.526420000000002</v>
      </c>
      <c r="Z233" s="278">
        <v>0</v>
      </c>
      <c r="AA233" s="278">
        <v>-1.8522400000000001</v>
      </c>
      <c r="AB233" s="278">
        <v>16339.208779999999</v>
      </c>
      <c r="AD233" s="278">
        <v>34296.629740000004</v>
      </c>
      <c r="AE233" s="157">
        <v>18122.159179999999</v>
      </c>
      <c r="AF233" s="184">
        <v>-23410.201260000002</v>
      </c>
      <c r="AG233" s="278">
        <v>-37600.800040000002</v>
      </c>
      <c r="AH233" s="278">
        <v>268.93400000000003</v>
      </c>
      <c r="AI233" s="184">
        <v>28912.850629999997</v>
      </c>
      <c r="AJ233" s="278">
        <v>7549.8115699999998</v>
      </c>
      <c r="AL233" s="278">
        <v>324592.26899999997</v>
      </c>
      <c r="AM233" s="184">
        <v>3351.6284100000003</v>
      </c>
      <c r="AN233" s="278">
        <v>-27184.857</v>
      </c>
      <c r="AO233" s="355">
        <v>66160</v>
      </c>
      <c r="AP233" s="344">
        <v>8.36</v>
      </c>
      <c r="AQ233" s="462"/>
      <c r="AS233" s="469">
        <v>27935.057199999999</v>
      </c>
      <c r="AT233" s="278">
        <v>220093.39790000001</v>
      </c>
      <c r="AU233" s="464"/>
      <c r="AV233" s="346">
        <v>120070.19136</v>
      </c>
      <c r="AW233" s="346">
        <v>17582.01325</v>
      </c>
      <c r="AX233" s="346">
        <v>30126.416100000002</v>
      </c>
      <c r="AY233" s="346">
        <v>167778.62071000002</v>
      </c>
      <c r="AZ233" s="346">
        <v>30872.925999999999</v>
      </c>
      <c r="BA233" s="278">
        <v>5988.4889800000001</v>
      </c>
      <c r="BB233" s="345">
        <v>9466.4383900000012</v>
      </c>
      <c r="BC233" s="278">
        <v>4670.8780999999999</v>
      </c>
      <c r="BD233" s="278">
        <v>182.64409000000001</v>
      </c>
      <c r="BE233" s="346">
        <v>7503.4906100000007</v>
      </c>
      <c r="BG233" s="343">
        <v>21008.8364</v>
      </c>
      <c r="BH233" s="346">
        <v>0</v>
      </c>
      <c r="BI233" s="346">
        <v>0</v>
      </c>
      <c r="BJ233" s="346">
        <v>-13505.345789999999</v>
      </c>
      <c r="BK233" s="346">
        <v>-34.526449999999997</v>
      </c>
      <c r="BL233" s="343">
        <v>0</v>
      </c>
      <c r="BM233" s="343">
        <v>0.73908000000000007</v>
      </c>
      <c r="BN233" s="346">
        <v>-13471.558419999999</v>
      </c>
      <c r="BP233" s="346">
        <v>20825.071320000003</v>
      </c>
      <c r="BQ233" s="318">
        <v>14774.034800000001</v>
      </c>
      <c r="BR233" s="278">
        <v>7270.5441900000005</v>
      </c>
      <c r="BS233" s="475">
        <v>-33348.012840000003</v>
      </c>
      <c r="BT233" s="278">
        <v>560.19000000000005</v>
      </c>
      <c r="BU233" s="278">
        <v>-5949.79684</v>
      </c>
      <c r="BV233" s="345">
        <v>10393.059210000001</v>
      </c>
      <c r="BX233" s="278">
        <v>360270.82699999999</v>
      </c>
      <c r="BY233" s="483">
        <v>2248.0961200000002</v>
      </c>
      <c r="BZ233" s="483">
        <v>35678.557999999997</v>
      </c>
      <c r="CA233" s="260"/>
      <c r="CB233" s="347">
        <v>8.4</v>
      </c>
      <c r="CC233" s="486">
        <f t="shared" si="3"/>
        <v>8.4</v>
      </c>
      <c r="CD233" s="287"/>
      <c r="CE233" s="278"/>
      <c r="CF233" s="268"/>
      <c r="CI233" s="158">
        <v>0</v>
      </c>
      <c r="CJ233" s="343">
        <v>23943.969073824508</v>
      </c>
      <c r="CK233" s="343">
        <v>30383.553689865534</v>
      </c>
      <c r="CL233" s="343">
        <v>31914.133859059169</v>
      </c>
      <c r="CM233" s="487">
        <v>34162.995939889493</v>
      </c>
      <c r="CN233" s="487">
        <v>35510.686934616417</v>
      </c>
      <c r="CO233" s="495">
        <v>-2776.201</v>
      </c>
      <c r="CP233" s="299"/>
      <c r="CQ233" s="489">
        <v>0</v>
      </c>
      <c r="CR233" s="489">
        <v>0</v>
      </c>
    </row>
    <row r="234" spans="1:96" x14ac:dyDescent="0.2">
      <c r="A234" s="154">
        <v>746</v>
      </c>
      <c r="B234" s="156" t="s">
        <v>258</v>
      </c>
      <c r="C234" s="337">
        <v>4735</v>
      </c>
      <c r="D234" s="276">
        <v>21.75</v>
      </c>
      <c r="E234" s="185"/>
      <c r="G234" s="278">
        <v>3740.7779100000002</v>
      </c>
      <c r="H234" s="278">
        <v>39514.70912</v>
      </c>
      <c r="I234" s="278"/>
      <c r="J234" s="278">
        <v>13520.68044</v>
      </c>
      <c r="K234" s="278">
        <v>4426.4273700000003</v>
      </c>
      <c r="L234" s="278">
        <v>1407.51332</v>
      </c>
      <c r="M234" s="278">
        <v>19354.62113</v>
      </c>
      <c r="N234" s="278">
        <v>21051.579000000002</v>
      </c>
      <c r="O234" s="278">
        <v>27.21969</v>
      </c>
      <c r="P234" s="278">
        <v>27.366349999999997</v>
      </c>
      <c r="Q234" s="278">
        <v>130.52847</v>
      </c>
      <c r="R234" s="278">
        <v>107.6986</v>
      </c>
      <c r="S234" s="278">
        <v>4654.9521299999997</v>
      </c>
      <c r="U234" s="278">
        <v>1356.04241</v>
      </c>
      <c r="V234" s="278">
        <v>0</v>
      </c>
      <c r="W234" s="278">
        <v>0</v>
      </c>
      <c r="X234" s="278">
        <v>3298.9097200000001</v>
      </c>
      <c r="Y234" s="278">
        <v>-100.05222000000001</v>
      </c>
      <c r="Z234" s="278">
        <v>0</v>
      </c>
      <c r="AA234" s="278">
        <v>0</v>
      </c>
      <c r="AB234" s="278">
        <v>3398.9619400000001</v>
      </c>
      <c r="AD234" s="278">
        <v>10993.19342</v>
      </c>
      <c r="AE234" s="157">
        <v>4654.9521299999997</v>
      </c>
      <c r="AF234" s="184">
        <v>0</v>
      </c>
      <c r="AG234" s="278">
        <v>-2730.4752899999999</v>
      </c>
      <c r="AH234" s="278">
        <v>36</v>
      </c>
      <c r="AI234" s="184">
        <v>0</v>
      </c>
      <c r="AJ234" s="278">
        <v>5699.8482100000001</v>
      </c>
      <c r="AL234" s="278">
        <v>13607.337999999998</v>
      </c>
      <c r="AM234" s="184">
        <v>-679.04666000000009</v>
      </c>
      <c r="AN234" s="278">
        <v>-6615.52</v>
      </c>
      <c r="AO234" s="355">
        <v>4713</v>
      </c>
      <c r="AP234" s="344">
        <v>9.11</v>
      </c>
      <c r="AQ234" s="462"/>
      <c r="AS234" s="469">
        <v>2802.2763399999999</v>
      </c>
      <c r="AT234" s="278">
        <v>18985.737559999998</v>
      </c>
      <c r="AU234" s="464"/>
      <c r="AV234" s="346">
        <v>6923.9360900000001</v>
      </c>
      <c r="AW234" s="346">
        <v>2749.8986500000001</v>
      </c>
      <c r="AX234" s="346">
        <v>1389.52286</v>
      </c>
      <c r="AY234" s="346">
        <v>11063.357599999999</v>
      </c>
      <c r="AZ234" s="346">
        <v>7476.5590000000002</v>
      </c>
      <c r="BA234" s="278">
        <v>153.15185</v>
      </c>
      <c r="BB234" s="345">
        <v>212.57512</v>
      </c>
      <c r="BC234" s="278">
        <v>224.20526000000001</v>
      </c>
      <c r="BD234" s="278">
        <v>110.57555000000001</v>
      </c>
      <c r="BE234" s="346">
        <v>2410.6618199999998</v>
      </c>
      <c r="BG234" s="343">
        <v>1291.8209099999999</v>
      </c>
      <c r="BH234" s="343">
        <v>0</v>
      </c>
      <c r="BI234" s="346">
        <v>0</v>
      </c>
      <c r="BJ234" s="346">
        <v>1118.8409099999999</v>
      </c>
      <c r="BK234" s="346">
        <v>-100.05228</v>
      </c>
      <c r="BL234" s="343">
        <v>0</v>
      </c>
      <c r="BM234" s="343">
        <v>0</v>
      </c>
      <c r="BN234" s="346">
        <v>1218.89319</v>
      </c>
      <c r="BP234" s="346">
        <v>12212.08661</v>
      </c>
      <c r="BQ234" s="318">
        <v>2358.5439799999999</v>
      </c>
      <c r="BR234" s="278">
        <v>-52.117839999999994</v>
      </c>
      <c r="BS234" s="475">
        <v>-1524.5783999999999</v>
      </c>
      <c r="BT234" s="278">
        <v>84</v>
      </c>
      <c r="BU234" s="278">
        <v>1350.4376499999998</v>
      </c>
      <c r="BV234" s="345">
        <v>4245.37806</v>
      </c>
      <c r="BX234" s="278">
        <v>10491.817999999999</v>
      </c>
      <c r="BY234" s="483">
        <v>319.10334</v>
      </c>
      <c r="BZ234" s="483">
        <v>-3115.52</v>
      </c>
      <c r="CA234" s="260"/>
      <c r="CB234" s="347">
        <v>9.6</v>
      </c>
      <c r="CC234" s="486">
        <f t="shared" si="3"/>
        <v>9.6</v>
      </c>
      <c r="CD234" s="287"/>
      <c r="CE234" s="278"/>
      <c r="CF234" s="268"/>
      <c r="CG234" s="266"/>
      <c r="CI234" s="158">
        <v>0</v>
      </c>
      <c r="CJ234" s="343">
        <v>7219.3604668045227</v>
      </c>
      <c r="CK234" s="343">
        <v>7841.4587839764263</v>
      </c>
      <c r="CL234" s="343">
        <v>8205.828288735669</v>
      </c>
      <c r="CM234" s="487">
        <v>8257.4106584296042</v>
      </c>
      <c r="CN234" s="487">
        <v>8729.7451715912084</v>
      </c>
      <c r="CO234" s="495">
        <v>241.56</v>
      </c>
      <c r="CP234" s="299"/>
      <c r="CQ234" s="489">
        <v>0</v>
      </c>
      <c r="CR234" s="489">
        <v>0</v>
      </c>
    </row>
    <row r="235" spans="1:96" x14ac:dyDescent="0.2">
      <c r="A235" s="154">
        <v>747</v>
      </c>
      <c r="B235" s="156" t="s">
        <v>259</v>
      </c>
      <c r="C235" s="337">
        <v>1308</v>
      </c>
      <c r="D235" s="276">
        <v>22</v>
      </c>
      <c r="E235" s="185"/>
      <c r="G235" s="278">
        <v>1447.86679</v>
      </c>
      <c r="H235" s="278">
        <v>11755.55249</v>
      </c>
      <c r="I235" s="278"/>
      <c r="J235" s="278">
        <v>3555.0686299999998</v>
      </c>
      <c r="K235" s="278">
        <v>976.21528999999998</v>
      </c>
      <c r="L235" s="278">
        <v>754.18605000000002</v>
      </c>
      <c r="M235" s="278">
        <v>5285.4699700000001</v>
      </c>
      <c r="N235" s="278">
        <v>5805.0110000000004</v>
      </c>
      <c r="O235" s="278">
        <v>4.3763000000000005</v>
      </c>
      <c r="P235" s="278">
        <v>2.81E-3</v>
      </c>
      <c r="Q235" s="278">
        <v>27.599619999999998</v>
      </c>
      <c r="R235" s="278">
        <v>36.471059999999994</v>
      </c>
      <c r="S235" s="278">
        <v>775.57492999999999</v>
      </c>
      <c r="U235" s="278">
        <v>507.64633000000003</v>
      </c>
      <c r="V235" s="278">
        <v>2.7223899999999999</v>
      </c>
      <c r="W235" s="278">
        <v>0</v>
      </c>
      <c r="X235" s="278">
        <v>270.65098999999998</v>
      </c>
      <c r="Y235" s="278">
        <v>0</v>
      </c>
      <c r="Z235" s="278">
        <v>0</v>
      </c>
      <c r="AA235" s="278">
        <v>0</v>
      </c>
      <c r="AB235" s="278">
        <v>270.65098999999998</v>
      </c>
      <c r="AD235" s="278">
        <v>5171.0158900000006</v>
      </c>
      <c r="AE235" s="157">
        <v>778.14879000000008</v>
      </c>
      <c r="AF235" s="184">
        <v>-0.14953</v>
      </c>
      <c r="AG235" s="278">
        <v>-956.25881000000004</v>
      </c>
      <c r="AH235" s="278">
        <v>0</v>
      </c>
      <c r="AI235" s="184">
        <v>178.67760999999999</v>
      </c>
      <c r="AJ235" s="278">
        <v>4064.15598</v>
      </c>
      <c r="AL235" s="278">
        <v>0</v>
      </c>
      <c r="AM235" s="184">
        <v>0</v>
      </c>
      <c r="AN235" s="278">
        <v>0</v>
      </c>
      <c r="AO235" s="355">
        <v>1283</v>
      </c>
      <c r="AP235" s="344">
        <v>9.36</v>
      </c>
      <c r="AQ235" s="462"/>
      <c r="AS235" s="469">
        <v>1628.89696</v>
      </c>
      <c r="AT235" s="278">
        <v>5130.6075599999995</v>
      </c>
      <c r="AU235" s="464"/>
      <c r="AV235" s="346">
        <v>1884.6031399999999</v>
      </c>
      <c r="AW235" s="346">
        <v>566.12891999999999</v>
      </c>
      <c r="AX235" s="346">
        <v>772.31025</v>
      </c>
      <c r="AY235" s="346">
        <v>3223.0423100000003</v>
      </c>
      <c r="AZ235" s="346">
        <v>1650.6959999999999</v>
      </c>
      <c r="BA235" s="278">
        <v>15.660030000000001</v>
      </c>
      <c r="BB235" s="345">
        <v>0</v>
      </c>
      <c r="BC235" s="278">
        <v>11.189500000000001</v>
      </c>
      <c r="BD235" s="278">
        <v>-11.61351</v>
      </c>
      <c r="BE235" s="346">
        <v>1410.4907499999999</v>
      </c>
      <c r="BG235" s="343">
        <v>714.91931999999997</v>
      </c>
      <c r="BH235" s="346">
        <v>0</v>
      </c>
      <c r="BI235" s="346">
        <v>0</v>
      </c>
      <c r="BJ235" s="346">
        <v>695.57143000000008</v>
      </c>
      <c r="BK235" s="343">
        <v>0</v>
      </c>
      <c r="BL235" s="346">
        <v>0</v>
      </c>
      <c r="BM235" s="346">
        <v>0</v>
      </c>
      <c r="BN235" s="346">
        <v>695.57143000000008</v>
      </c>
      <c r="BP235" s="346">
        <v>5866.5873199999996</v>
      </c>
      <c r="BQ235" s="318">
        <v>1410.4907499999999</v>
      </c>
      <c r="BR235" s="278">
        <v>0</v>
      </c>
      <c r="BS235" s="475">
        <v>-355.63671999999997</v>
      </c>
      <c r="BT235" s="278">
        <v>0</v>
      </c>
      <c r="BU235" s="278">
        <v>260.44562000000002</v>
      </c>
      <c r="BV235" s="345">
        <v>5087.7361300000002</v>
      </c>
      <c r="BX235" s="278">
        <v>0</v>
      </c>
      <c r="BY235" s="483">
        <v>0</v>
      </c>
      <c r="BZ235" s="483">
        <v>0</v>
      </c>
      <c r="CA235" s="260"/>
      <c r="CB235" s="347">
        <v>9.4</v>
      </c>
      <c r="CC235" s="486">
        <f t="shared" si="3"/>
        <v>9.4</v>
      </c>
      <c r="CD235" s="287"/>
      <c r="CE235" s="278"/>
      <c r="CF235" s="268"/>
      <c r="CI235" s="158">
        <v>0</v>
      </c>
      <c r="CJ235" s="343">
        <v>1405.2606385957522</v>
      </c>
      <c r="CK235" s="343">
        <v>1598.9129914335283</v>
      </c>
      <c r="CL235" s="343">
        <v>1754.9630790204315</v>
      </c>
      <c r="CM235" s="487">
        <v>1777.5170731609337</v>
      </c>
      <c r="CN235" s="487">
        <v>1938.8391173977625</v>
      </c>
      <c r="CO235" s="495">
        <v>-234.94200000000001</v>
      </c>
      <c r="CP235" s="299"/>
      <c r="CQ235" s="489">
        <v>0</v>
      </c>
      <c r="CR235" s="489">
        <v>0</v>
      </c>
    </row>
    <row r="236" spans="1:96" x14ac:dyDescent="0.2">
      <c r="A236" s="154">
        <v>748</v>
      </c>
      <c r="B236" s="156" t="s">
        <v>260</v>
      </c>
      <c r="C236" s="337">
        <v>4897</v>
      </c>
      <c r="D236" s="276">
        <v>22</v>
      </c>
      <c r="E236" s="185"/>
      <c r="G236" s="278">
        <v>4207.1075899999996</v>
      </c>
      <c r="H236" s="278">
        <v>40133.477500000001</v>
      </c>
      <c r="I236" s="278"/>
      <c r="J236" s="278">
        <v>14245.00942</v>
      </c>
      <c r="K236" s="278">
        <v>1809.3253300000001</v>
      </c>
      <c r="L236" s="278">
        <v>2873.7867299999998</v>
      </c>
      <c r="M236" s="278">
        <v>18928.121480000002</v>
      </c>
      <c r="N236" s="278">
        <v>19996.099999999999</v>
      </c>
      <c r="O236" s="278">
        <v>90.767080000000007</v>
      </c>
      <c r="P236" s="278">
        <v>70.700050000000005</v>
      </c>
      <c r="Q236" s="278">
        <v>165.65467999999998</v>
      </c>
      <c r="R236" s="278">
        <v>62.84469</v>
      </c>
      <c r="S236" s="278">
        <v>3120.7285899999997</v>
      </c>
      <c r="U236" s="278">
        <v>867.42372</v>
      </c>
      <c r="V236" s="278">
        <v>0</v>
      </c>
      <c r="W236" s="278">
        <v>0</v>
      </c>
      <c r="X236" s="278">
        <v>2253.3048699999999</v>
      </c>
      <c r="Y236" s="278">
        <v>0</v>
      </c>
      <c r="Z236" s="278">
        <v>700</v>
      </c>
      <c r="AA236" s="278">
        <v>0</v>
      </c>
      <c r="AB236" s="278">
        <v>1553.3048700000002</v>
      </c>
      <c r="AD236" s="278">
        <v>10253.177739999999</v>
      </c>
      <c r="AE236" s="157">
        <v>3120.7285899999997</v>
      </c>
      <c r="AF236" s="184">
        <v>-54.994999999999997</v>
      </c>
      <c r="AG236" s="278">
        <v>-3603.61985</v>
      </c>
      <c r="AH236" s="278">
        <v>67.614879999999999</v>
      </c>
      <c r="AI236" s="184">
        <v>2.1337899999999999</v>
      </c>
      <c r="AJ236" s="278">
        <v>0</v>
      </c>
      <c r="AL236" s="278">
        <v>7342.3448499999995</v>
      </c>
      <c r="AM236" s="184">
        <v>-38.799999999999997</v>
      </c>
      <c r="AN236" s="278">
        <v>-2625.674</v>
      </c>
      <c r="AO236" s="355">
        <v>4837</v>
      </c>
      <c r="AP236" s="344">
        <v>9.36</v>
      </c>
      <c r="AQ236" s="462"/>
      <c r="AS236" s="469">
        <v>2750.1174100000003</v>
      </c>
      <c r="AT236" s="278">
        <v>20104.005020000001</v>
      </c>
      <c r="AU236" s="464"/>
      <c r="AV236" s="346">
        <v>8126.6958500000001</v>
      </c>
      <c r="AW236" s="346">
        <v>1234.89985</v>
      </c>
      <c r="AX236" s="346">
        <v>1717.0629799999999</v>
      </c>
      <c r="AY236" s="346">
        <v>11078.65868</v>
      </c>
      <c r="AZ236" s="346">
        <v>6827.92</v>
      </c>
      <c r="BA236" s="278">
        <v>-58.420349999999999</v>
      </c>
      <c r="BB236" s="345">
        <v>207.10288</v>
      </c>
      <c r="BC236" s="278">
        <v>195.14063000000002</v>
      </c>
      <c r="BD236" s="278">
        <v>168.67373000000001</v>
      </c>
      <c r="BE236" s="346">
        <v>313.63473999999997</v>
      </c>
      <c r="BG236" s="343">
        <v>923.71524999999997</v>
      </c>
      <c r="BH236" s="343">
        <v>0</v>
      </c>
      <c r="BI236" s="343">
        <v>1355.9500500000001</v>
      </c>
      <c r="BJ236" s="346">
        <v>-1966.0305600000002</v>
      </c>
      <c r="BK236" s="346">
        <v>1931.80096</v>
      </c>
      <c r="BL236" s="343">
        <v>-2050</v>
      </c>
      <c r="BM236" s="343">
        <v>0</v>
      </c>
      <c r="BN236" s="346">
        <v>-1847.83152</v>
      </c>
      <c r="BP236" s="346">
        <v>8482.4132100000006</v>
      </c>
      <c r="BQ236" s="318">
        <v>313.63473999999997</v>
      </c>
      <c r="BR236" s="278">
        <v>0</v>
      </c>
      <c r="BS236" s="475">
        <v>-4585.3717400000005</v>
      </c>
      <c r="BT236" s="278">
        <v>0</v>
      </c>
      <c r="BU236" s="278">
        <v>495.80553999999995</v>
      </c>
      <c r="BV236" s="345">
        <v>3354.1190000000001</v>
      </c>
      <c r="BX236" s="278">
        <v>11107.048129999999</v>
      </c>
      <c r="BY236" s="483">
        <v>-97.92</v>
      </c>
      <c r="BZ236" s="483">
        <v>3764.7032799999997</v>
      </c>
      <c r="CA236" s="260"/>
      <c r="CB236" s="347">
        <v>9.4</v>
      </c>
      <c r="CC236" s="486">
        <f t="shared" si="3"/>
        <v>9.4</v>
      </c>
      <c r="CD236" s="287"/>
      <c r="CE236" s="278"/>
      <c r="CF236" s="268"/>
      <c r="CI236" s="158">
        <v>0</v>
      </c>
      <c r="CJ236" s="343">
        <v>6312.3835845945905</v>
      </c>
      <c r="CK236" s="343">
        <v>6691.3431717874</v>
      </c>
      <c r="CL236" s="343">
        <v>7072.9733689746172</v>
      </c>
      <c r="CM236" s="487">
        <v>7077.6850531811742</v>
      </c>
      <c r="CN236" s="487">
        <v>7676.4592278074188</v>
      </c>
      <c r="CO236" s="495">
        <v>484.59300000000002</v>
      </c>
      <c r="CP236" s="299"/>
      <c r="CQ236" s="489">
        <v>0</v>
      </c>
      <c r="CR236" s="489">
        <v>0</v>
      </c>
    </row>
    <row r="237" spans="1:96" x14ac:dyDescent="0.2">
      <c r="A237" s="154">
        <v>791</v>
      </c>
      <c r="B237" s="156" t="s">
        <v>352</v>
      </c>
      <c r="C237" s="337">
        <v>5029</v>
      </c>
      <c r="D237" s="276">
        <v>21.75</v>
      </c>
      <c r="E237" s="185"/>
      <c r="G237" s="278">
        <v>9595.0154899999998</v>
      </c>
      <c r="H237" s="278">
        <v>50343.853219999997</v>
      </c>
      <c r="I237" s="278"/>
      <c r="J237" s="278">
        <v>14075.74827</v>
      </c>
      <c r="K237" s="278">
        <v>2084.7539099999999</v>
      </c>
      <c r="L237" s="278">
        <v>1428.64798</v>
      </c>
      <c r="M237" s="278">
        <v>17589.150160000001</v>
      </c>
      <c r="N237" s="278">
        <v>25093.809000000001</v>
      </c>
      <c r="O237" s="278">
        <v>48.09</v>
      </c>
      <c r="P237" s="278">
        <v>87.229500000000002</v>
      </c>
      <c r="Q237" s="278">
        <v>412.44668999999999</v>
      </c>
      <c r="R237" s="278">
        <v>7.4167200000000006</v>
      </c>
      <c r="S237" s="278">
        <v>2300.0119</v>
      </c>
      <c r="U237" s="278">
        <v>1844.48387</v>
      </c>
      <c r="V237" s="278">
        <v>0</v>
      </c>
      <c r="W237" s="278">
        <v>0</v>
      </c>
      <c r="X237" s="278">
        <v>455.52803</v>
      </c>
      <c r="Y237" s="278">
        <v>-69.843720000000005</v>
      </c>
      <c r="Z237" s="278">
        <v>0</v>
      </c>
      <c r="AA237" s="278">
        <v>0</v>
      </c>
      <c r="AB237" s="278">
        <v>525.37175000000002</v>
      </c>
      <c r="AD237" s="278">
        <v>1401.58755</v>
      </c>
      <c r="AE237" s="157">
        <v>2445.7516299999997</v>
      </c>
      <c r="AF237" s="184">
        <v>145.73973000000001</v>
      </c>
      <c r="AG237" s="278">
        <v>-1778.13625</v>
      </c>
      <c r="AH237" s="278">
        <v>46.882289999999998</v>
      </c>
      <c r="AI237" s="184">
        <v>54.398150000000001</v>
      </c>
      <c r="AJ237" s="278">
        <v>767.08493999999996</v>
      </c>
      <c r="AL237" s="278">
        <v>12403.89</v>
      </c>
      <c r="AM237" s="184">
        <v>38.812599999999996</v>
      </c>
      <c r="AN237" s="278">
        <v>-2969.9670000000001</v>
      </c>
      <c r="AO237" s="355">
        <v>4931</v>
      </c>
      <c r="AP237" s="344">
        <v>9.11</v>
      </c>
      <c r="AQ237" s="462"/>
      <c r="AS237" s="469">
        <v>3784.2900199999999</v>
      </c>
      <c r="AT237" s="278">
        <v>19228.87473</v>
      </c>
      <c r="AU237" s="464"/>
      <c r="AV237" s="346">
        <v>7276.9838899999995</v>
      </c>
      <c r="AW237" s="346">
        <v>1425.58719</v>
      </c>
      <c r="AX237" s="346">
        <v>1708.0329299999999</v>
      </c>
      <c r="AY237" s="346">
        <v>10410.604009999999</v>
      </c>
      <c r="AZ237" s="346">
        <v>8305.2009999999991</v>
      </c>
      <c r="BA237" s="278">
        <v>67.190600000000003</v>
      </c>
      <c r="BB237" s="345">
        <v>357.51213999999999</v>
      </c>
      <c r="BC237" s="278">
        <v>131.70204000000001</v>
      </c>
      <c r="BD237" s="278">
        <v>9.6258400000000002</v>
      </c>
      <c r="BE237" s="346">
        <v>3102.97496</v>
      </c>
      <c r="BG237" s="343">
        <v>1815.90068</v>
      </c>
      <c r="BH237" s="343">
        <v>0</v>
      </c>
      <c r="BI237" s="343">
        <v>0</v>
      </c>
      <c r="BJ237" s="346">
        <v>1287.07428</v>
      </c>
      <c r="BK237" s="346">
        <v>-70.522919999999999</v>
      </c>
      <c r="BL237" s="343">
        <v>0</v>
      </c>
      <c r="BM237" s="346">
        <v>0</v>
      </c>
      <c r="BN237" s="346">
        <v>1357.5971999999999</v>
      </c>
      <c r="BP237" s="346">
        <v>2759.1847499999999</v>
      </c>
      <c r="BQ237" s="318">
        <v>3453.6374100000003</v>
      </c>
      <c r="BR237" s="278">
        <v>350.66245000000004</v>
      </c>
      <c r="BS237" s="475">
        <v>-1002.54696</v>
      </c>
      <c r="BT237" s="278">
        <v>8</v>
      </c>
      <c r="BU237" s="278">
        <v>117.71250000000001</v>
      </c>
      <c r="BV237" s="345">
        <v>666.43919999999991</v>
      </c>
      <c r="BX237" s="278">
        <v>10906.991999999998</v>
      </c>
      <c r="BY237" s="483">
        <v>-120.89055</v>
      </c>
      <c r="BZ237" s="483">
        <v>-1496.8979999999999</v>
      </c>
      <c r="CA237" s="260"/>
      <c r="CB237" s="347">
        <v>9.1</v>
      </c>
      <c r="CC237" s="486">
        <f t="shared" si="3"/>
        <v>9.1</v>
      </c>
      <c r="CD237" s="287"/>
      <c r="CE237" s="278"/>
      <c r="CF237" s="268"/>
      <c r="CG237" s="266"/>
      <c r="CI237" s="158">
        <v>0</v>
      </c>
      <c r="CJ237" s="343">
        <v>7149.2814809041138</v>
      </c>
      <c r="CK237" s="343">
        <v>7652.0876373814999</v>
      </c>
      <c r="CL237" s="343">
        <v>7580.5711590292794</v>
      </c>
      <c r="CM237" s="487">
        <v>7802.6773643301121</v>
      </c>
      <c r="CN237" s="487">
        <v>8424.8259821843494</v>
      </c>
      <c r="CO237" s="495">
        <v>-209.727</v>
      </c>
      <c r="CP237" s="299"/>
      <c r="CQ237" s="489">
        <v>0</v>
      </c>
      <c r="CR237" s="489">
        <v>0</v>
      </c>
    </row>
    <row r="238" spans="1:96" x14ac:dyDescent="0.2">
      <c r="A238" s="154">
        <v>749</v>
      </c>
      <c r="B238" s="156" t="s">
        <v>261</v>
      </c>
      <c r="C238" s="337">
        <v>21232</v>
      </c>
      <c r="D238" s="276">
        <v>22.000000000000004</v>
      </c>
      <c r="E238" s="185"/>
      <c r="G238" s="278">
        <v>23580.712390000001</v>
      </c>
      <c r="H238" s="278">
        <v>164432.37821</v>
      </c>
      <c r="I238" s="278"/>
      <c r="J238" s="278">
        <v>86409.220180000004</v>
      </c>
      <c r="K238" s="278">
        <v>7648.44481</v>
      </c>
      <c r="L238" s="278">
        <v>6057.3802400000004</v>
      </c>
      <c r="M238" s="278">
        <v>100115.04523</v>
      </c>
      <c r="N238" s="278">
        <v>43829.921000000002</v>
      </c>
      <c r="O238" s="278">
        <v>649.86364000000003</v>
      </c>
      <c r="P238" s="278">
        <v>364.35917999999998</v>
      </c>
      <c r="Q238" s="278">
        <v>926.02715999999998</v>
      </c>
      <c r="R238" s="278">
        <v>100.95258</v>
      </c>
      <c r="S238" s="278">
        <v>4354.6809400000002</v>
      </c>
      <c r="U238" s="278">
        <v>6739.7625199999993</v>
      </c>
      <c r="V238" s="278">
        <v>0</v>
      </c>
      <c r="W238" s="278">
        <v>0</v>
      </c>
      <c r="X238" s="278">
        <v>-2385.08158</v>
      </c>
      <c r="Y238" s="278">
        <v>0</v>
      </c>
      <c r="Z238" s="278">
        <v>0</v>
      </c>
      <c r="AA238" s="278">
        <v>-16.453490000000002</v>
      </c>
      <c r="AB238" s="278">
        <v>-2368.6280899999997</v>
      </c>
      <c r="AD238" s="278">
        <v>3685.1703700000003</v>
      </c>
      <c r="AE238" s="157">
        <v>3559.9929999999999</v>
      </c>
      <c r="AF238" s="184">
        <v>-794.68799999999999</v>
      </c>
      <c r="AG238" s="278">
        <v>-4916.6260000000002</v>
      </c>
      <c r="AH238" s="278">
        <v>86.7</v>
      </c>
      <c r="AI238" s="184">
        <v>1091.4490000000001</v>
      </c>
      <c r="AJ238" s="278">
        <v>9742.3259999999991</v>
      </c>
      <c r="AL238" s="278">
        <v>67349.81035</v>
      </c>
      <c r="AM238" s="184">
        <v>341.93099999999998</v>
      </c>
      <c r="AN238" s="278">
        <v>-6768.6570000000002</v>
      </c>
      <c r="AO238" s="355">
        <v>21290</v>
      </c>
      <c r="AP238" s="344">
        <v>9.36</v>
      </c>
      <c r="AQ238" s="462"/>
      <c r="AS238" s="469">
        <v>15797.456539999999</v>
      </c>
      <c r="AT238" s="278">
        <v>78397.280239999993</v>
      </c>
      <c r="AU238" s="464"/>
      <c r="AV238" s="346">
        <v>46100.570490000006</v>
      </c>
      <c r="AW238" s="346">
        <v>6163.1236200000003</v>
      </c>
      <c r="AX238" s="346">
        <v>6766.9481900000001</v>
      </c>
      <c r="AY238" s="346">
        <v>59030.6423</v>
      </c>
      <c r="AZ238" s="346">
        <v>11096.21</v>
      </c>
      <c r="BA238" s="278">
        <v>655.33809999999994</v>
      </c>
      <c r="BB238" s="345">
        <v>1037.8155200000001</v>
      </c>
      <c r="BC238" s="278">
        <v>857.03049999999996</v>
      </c>
      <c r="BD238" s="278">
        <v>1.50654</v>
      </c>
      <c r="BE238" s="346">
        <v>8111.2405599999993</v>
      </c>
      <c r="BG238" s="343">
        <v>8560.6624300000003</v>
      </c>
      <c r="BH238" s="343">
        <v>0</v>
      </c>
      <c r="BI238" s="343">
        <v>0</v>
      </c>
      <c r="BJ238" s="346">
        <v>-449.42187000000001</v>
      </c>
      <c r="BK238" s="343">
        <v>0</v>
      </c>
      <c r="BL238" s="343">
        <v>0</v>
      </c>
      <c r="BM238" s="343">
        <v>-15.797379999999999</v>
      </c>
      <c r="BN238" s="346">
        <v>-433.62448999999998</v>
      </c>
      <c r="BP238" s="346">
        <v>3251.5458800000001</v>
      </c>
      <c r="BQ238" s="318">
        <v>7892.9805999999999</v>
      </c>
      <c r="BR238" s="278">
        <v>-218.25995999999998</v>
      </c>
      <c r="BS238" s="475">
        <v>-8726.2123200000005</v>
      </c>
      <c r="BT238" s="278">
        <v>558.94302000000005</v>
      </c>
      <c r="BU238" s="278">
        <v>1169.77305</v>
      </c>
      <c r="BV238" s="345">
        <v>5671.0946699999995</v>
      </c>
      <c r="BX238" s="278">
        <v>66702.665590000004</v>
      </c>
      <c r="BY238" s="483">
        <v>348.27058</v>
      </c>
      <c r="BZ238" s="483">
        <v>-647.14476000000002</v>
      </c>
      <c r="CA238" s="260"/>
      <c r="CB238" s="347">
        <v>9.4</v>
      </c>
      <c r="CC238" s="486">
        <f t="shared" si="3"/>
        <v>9.4</v>
      </c>
      <c r="CD238" s="287"/>
      <c r="CE238" s="278"/>
      <c r="CF238" s="268"/>
      <c r="CI238" s="158">
        <v>0</v>
      </c>
      <c r="CJ238" s="343">
        <v>11622.511798910904</v>
      </c>
      <c r="CK238" s="343">
        <v>10717.660120248067</v>
      </c>
      <c r="CL238" s="343">
        <v>8191.7761624892028</v>
      </c>
      <c r="CM238" s="487">
        <v>8416.9050049206653</v>
      </c>
      <c r="CN238" s="487">
        <v>9689.681742317116</v>
      </c>
      <c r="CO238" s="495">
        <v>-1857.249</v>
      </c>
      <c r="CP238" s="299"/>
      <c r="CQ238" s="489">
        <v>150.80149</v>
      </c>
      <c r="CR238" s="489">
        <v>111.16542</v>
      </c>
    </row>
    <row r="239" spans="1:96" x14ac:dyDescent="0.2">
      <c r="A239" s="154">
        <v>751</v>
      </c>
      <c r="B239" s="156" t="s">
        <v>262</v>
      </c>
      <c r="C239" s="337">
        <v>2877</v>
      </c>
      <c r="D239" s="276">
        <v>22</v>
      </c>
      <c r="E239" s="185"/>
      <c r="G239" s="278">
        <v>2505.6066800000003</v>
      </c>
      <c r="H239" s="278">
        <v>23546.519620000003</v>
      </c>
      <c r="I239" s="278"/>
      <c r="J239" s="278">
        <v>10996.38055</v>
      </c>
      <c r="K239" s="278">
        <v>476.71148999999997</v>
      </c>
      <c r="L239" s="278">
        <v>2303.68325</v>
      </c>
      <c r="M239" s="278">
        <v>13776.77529</v>
      </c>
      <c r="N239" s="278">
        <v>10012.728999999999</v>
      </c>
      <c r="O239" s="278">
        <v>1.95208</v>
      </c>
      <c r="P239" s="278">
        <v>38.595169999999996</v>
      </c>
      <c r="Q239" s="278">
        <v>5.6396899999999999</v>
      </c>
      <c r="R239" s="278">
        <v>1.55331</v>
      </c>
      <c r="S239" s="278">
        <v>2716.0346400000003</v>
      </c>
      <c r="U239" s="278">
        <v>1119.78799</v>
      </c>
      <c r="V239" s="278">
        <v>0</v>
      </c>
      <c r="W239" s="278">
        <v>0</v>
      </c>
      <c r="X239" s="278">
        <v>1596.2466499999998</v>
      </c>
      <c r="Y239" s="278">
        <v>0</v>
      </c>
      <c r="Z239" s="278">
        <v>0</v>
      </c>
      <c r="AA239" s="278">
        <v>0</v>
      </c>
      <c r="AB239" s="278">
        <v>1596.2466499999998</v>
      </c>
      <c r="AD239" s="278">
        <v>4206.8981400000002</v>
      </c>
      <c r="AE239" s="157">
        <v>2292.90652</v>
      </c>
      <c r="AF239" s="184">
        <v>-423.12811999999997</v>
      </c>
      <c r="AG239" s="278">
        <v>-1541.1206399999999</v>
      </c>
      <c r="AH239" s="278">
        <v>301.07035999999999</v>
      </c>
      <c r="AI239" s="184">
        <v>100.47744999999999</v>
      </c>
      <c r="AJ239" s="278">
        <v>2039.9803200000001</v>
      </c>
      <c r="AL239" s="278">
        <v>4212</v>
      </c>
      <c r="AM239" s="184">
        <v>0</v>
      </c>
      <c r="AN239" s="278">
        <v>-911.99099999999999</v>
      </c>
      <c r="AO239" s="355">
        <v>2828</v>
      </c>
      <c r="AP239" s="344">
        <v>9.36</v>
      </c>
      <c r="AQ239" s="462"/>
      <c r="AS239" s="469">
        <v>2770.9319999999998</v>
      </c>
      <c r="AT239" s="278">
        <v>11056.998240000001</v>
      </c>
      <c r="AU239" s="464"/>
      <c r="AV239" s="346">
        <v>5934.9637599999996</v>
      </c>
      <c r="AW239" s="346">
        <v>328.66909999999996</v>
      </c>
      <c r="AX239" s="346">
        <v>2379.51712</v>
      </c>
      <c r="AY239" s="346">
        <v>8643.1499800000001</v>
      </c>
      <c r="AZ239" s="346">
        <v>3117.6909999999998</v>
      </c>
      <c r="BA239" s="278">
        <v>36.038760000000003</v>
      </c>
      <c r="BB239" s="345">
        <v>41.772760000000005</v>
      </c>
      <c r="BC239" s="278">
        <v>43.918279999999996</v>
      </c>
      <c r="BD239" s="278">
        <v>4.3004700000000007</v>
      </c>
      <c r="BE239" s="346">
        <v>3508.6585499999997</v>
      </c>
      <c r="BG239" s="343">
        <v>1219.95568</v>
      </c>
      <c r="BH239" s="343">
        <v>118.7303</v>
      </c>
      <c r="BI239" s="343">
        <v>0</v>
      </c>
      <c r="BJ239" s="346">
        <v>2407.4331699999998</v>
      </c>
      <c r="BK239" s="343">
        <v>0</v>
      </c>
      <c r="BL239" s="343">
        <v>0</v>
      </c>
      <c r="BM239" s="343">
        <v>0</v>
      </c>
      <c r="BN239" s="346">
        <v>2407.4331699999998</v>
      </c>
      <c r="BP239" s="346">
        <v>7429.4050000000007</v>
      </c>
      <c r="BQ239" s="318">
        <v>4435.9877000000006</v>
      </c>
      <c r="BR239" s="278">
        <v>808.59884999999997</v>
      </c>
      <c r="BS239" s="475">
        <v>-2414.8850400000001</v>
      </c>
      <c r="BT239" s="278">
        <v>103.91405</v>
      </c>
      <c r="BU239" s="278">
        <v>291.86900000000003</v>
      </c>
      <c r="BV239" s="345">
        <v>3533.49836</v>
      </c>
      <c r="BX239" s="278">
        <v>3414.3719999999998</v>
      </c>
      <c r="BY239" s="483">
        <v>128.02619000000001</v>
      </c>
      <c r="BZ239" s="483">
        <v>-797.62800000000004</v>
      </c>
      <c r="CA239" s="260"/>
      <c r="CB239" s="347">
        <v>9.4</v>
      </c>
      <c r="CC239" s="486">
        <f t="shared" si="3"/>
        <v>9.4</v>
      </c>
      <c r="CD239" s="287"/>
      <c r="CE239" s="278"/>
      <c r="CF239" s="268"/>
      <c r="CI239" s="158">
        <v>0</v>
      </c>
      <c r="CJ239" s="343">
        <v>3251.9958529662363</v>
      </c>
      <c r="CK239" s="343">
        <v>3489.0275856324865</v>
      </c>
      <c r="CL239" s="343">
        <v>3496.6559074881884</v>
      </c>
      <c r="CM239" s="487">
        <v>3510.0240017597912</v>
      </c>
      <c r="CN239" s="487">
        <v>3893.0655107408666</v>
      </c>
      <c r="CO239" s="495">
        <v>252.13900000000001</v>
      </c>
      <c r="CP239" s="299"/>
      <c r="CQ239" s="489">
        <v>0</v>
      </c>
      <c r="CR239" s="489">
        <v>0</v>
      </c>
    </row>
    <row r="240" spans="1:96" x14ac:dyDescent="0.2">
      <c r="A240" s="154">
        <v>753</v>
      </c>
      <c r="B240" s="156" t="s">
        <v>263</v>
      </c>
      <c r="C240" s="337">
        <v>22320</v>
      </c>
      <c r="D240" s="276">
        <v>19.25</v>
      </c>
      <c r="E240" s="185"/>
      <c r="G240" s="278">
        <v>35964.788420000004</v>
      </c>
      <c r="H240" s="278">
        <v>153800.54112000001</v>
      </c>
      <c r="I240" s="278"/>
      <c r="J240" s="278">
        <v>103992.85593000001</v>
      </c>
      <c r="K240" s="278">
        <v>7566.76926</v>
      </c>
      <c r="L240" s="278">
        <v>10644.448550000001</v>
      </c>
      <c r="M240" s="278">
        <v>122204.22143999999</v>
      </c>
      <c r="N240" s="278">
        <v>19176.566999999999</v>
      </c>
      <c r="O240" s="278">
        <v>24.72476</v>
      </c>
      <c r="P240" s="278">
        <v>468.73939000000001</v>
      </c>
      <c r="Q240" s="278">
        <v>280.28215</v>
      </c>
      <c r="R240" s="278">
        <v>15.961259999999999</v>
      </c>
      <c r="S240" s="278">
        <v>23366.795160000001</v>
      </c>
      <c r="U240" s="278">
        <v>10338.450150000001</v>
      </c>
      <c r="V240" s="278">
        <v>185.17597000000001</v>
      </c>
      <c r="W240" s="278">
        <v>0</v>
      </c>
      <c r="X240" s="278">
        <v>13213.520980000001</v>
      </c>
      <c r="Y240" s="278">
        <v>-1698.0500099999999</v>
      </c>
      <c r="Z240" s="278">
        <v>0</v>
      </c>
      <c r="AA240" s="278">
        <v>0</v>
      </c>
      <c r="AB240" s="278">
        <v>14911.57099</v>
      </c>
      <c r="AD240" s="278">
        <v>37241.404479999997</v>
      </c>
      <c r="AE240" s="157">
        <v>9578.6978500000005</v>
      </c>
      <c r="AF240" s="184">
        <v>-13973.273279999999</v>
      </c>
      <c r="AG240" s="278">
        <v>-18491.167839999998</v>
      </c>
      <c r="AH240" s="278">
        <v>826.54755</v>
      </c>
      <c r="AI240" s="184">
        <v>14088.17396</v>
      </c>
      <c r="AJ240" s="278">
        <v>11755.19038</v>
      </c>
      <c r="AL240" s="278">
        <v>107228.78544999998</v>
      </c>
      <c r="AM240" s="184">
        <v>0.6</v>
      </c>
      <c r="AN240" s="278">
        <v>-23969.403409999999</v>
      </c>
      <c r="AO240" s="355">
        <v>22595</v>
      </c>
      <c r="AP240" s="344">
        <v>6.61</v>
      </c>
      <c r="AQ240" s="462"/>
      <c r="AS240" s="469">
        <v>19074.986230000002</v>
      </c>
      <c r="AT240" s="278">
        <v>83813.377529999998</v>
      </c>
      <c r="AU240" s="464"/>
      <c r="AV240" s="346">
        <v>44787.613659999995</v>
      </c>
      <c r="AW240" s="346">
        <v>5981.02862</v>
      </c>
      <c r="AX240" s="346">
        <v>11624.089250000001</v>
      </c>
      <c r="AY240" s="346">
        <v>62392.731530000005</v>
      </c>
      <c r="AZ240" s="346">
        <v>22093.094000000001</v>
      </c>
      <c r="BA240" s="278">
        <v>0.88479999999999992</v>
      </c>
      <c r="BB240" s="345">
        <v>1156.7030099999999</v>
      </c>
      <c r="BC240" s="278">
        <v>151.58023</v>
      </c>
      <c r="BD240" s="278">
        <v>11.19994</v>
      </c>
      <c r="BE240" s="346">
        <v>18739.2094</v>
      </c>
      <c r="BG240" s="343">
        <v>14909.535230000001</v>
      </c>
      <c r="BH240" s="343">
        <v>0</v>
      </c>
      <c r="BI240" s="343">
        <v>0</v>
      </c>
      <c r="BJ240" s="346">
        <v>3829.6741699999998</v>
      </c>
      <c r="BK240" s="343">
        <v>1116.6403600000001</v>
      </c>
      <c r="BL240" s="343">
        <v>-3050</v>
      </c>
      <c r="BM240" s="346">
        <v>0</v>
      </c>
      <c r="BN240" s="346">
        <v>5763.0338099999999</v>
      </c>
      <c r="BP240" s="346">
        <v>43004.438289999998</v>
      </c>
      <c r="BQ240" s="318">
        <v>14762.23956</v>
      </c>
      <c r="BR240" s="278">
        <v>-3976.9698399999997</v>
      </c>
      <c r="BS240" s="475">
        <v>-15952.136869999998</v>
      </c>
      <c r="BT240" s="278">
        <v>0</v>
      </c>
      <c r="BU240" s="278">
        <v>4346.8649999999998</v>
      </c>
      <c r="BV240" s="345">
        <v>3633.6679700000004</v>
      </c>
      <c r="BX240" s="278">
        <v>101331.42875000001</v>
      </c>
      <c r="BY240" s="483">
        <v>0.6</v>
      </c>
      <c r="BZ240" s="483">
        <v>-5897.3567000000003</v>
      </c>
      <c r="CA240" s="260"/>
      <c r="CB240" s="347">
        <v>6.6000000000000005</v>
      </c>
      <c r="CC240" s="486">
        <f t="shared" si="3"/>
        <v>6.6000000000000005</v>
      </c>
      <c r="CD240" s="287"/>
      <c r="CE240" s="278"/>
      <c r="CF240" s="268"/>
      <c r="CI240" s="158">
        <v>0</v>
      </c>
      <c r="CJ240" s="343">
        <v>22154.087736590351</v>
      </c>
      <c r="CK240" s="343">
        <v>22520.793534198001</v>
      </c>
      <c r="CL240" s="343">
        <v>22614.128521042017</v>
      </c>
      <c r="CM240" s="487">
        <v>22788.86048686158</v>
      </c>
      <c r="CN240" s="487">
        <v>23716.117121107243</v>
      </c>
      <c r="CO240" s="495">
        <v>-2270.8029999999999</v>
      </c>
      <c r="CP240" s="299"/>
      <c r="CQ240" s="489">
        <v>1.45316</v>
      </c>
      <c r="CR240" s="489">
        <v>7.2130900000000002</v>
      </c>
    </row>
    <row r="241" spans="1:96" x14ac:dyDescent="0.2">
      <c r="A241" s="154">
        <v>755</v>
      </c>
      <c r="B241" s="156" t="s">
        <v>264</v>
      </c>
      <c r="C241" s="337">
        <v>6217</v>
      </c>
      <c r="D241" s="276">
        <v>21.25</v>
      </c>
      <c r="E241" s="185"/>
      <c r="G241" s="278">
        <v>10105.172909999999</v>
      </c>
      <c r="H241" s="278">
        <v>45730.84031</v>
      </c>
      <c r="I241" s="278"/>
      <c r="J241" s="278">
        <v>30511.383610000001</v>
      </c>
      <c r="K241" s="278">
        <v>1189.42076</v>
      </c>
      <c r="L241" s="278">
        <v>1945.0586000000001</v>
      </c>
      <c r="M241" s="278">
        <v>33645.862970000002</v>
      </c>
      <c r="N241" s="278">
        <v>6592.6940000000004</v>
      </c>
      <c r="O241" s="278">
        <v>5.6380100000000004</v>
      </c>
      <c r="P241" s="278">
        <v>163.74222</v>
      </c>
      <c r="Q241" s="278">
        <v>116.48034</v>
      </c>
      <c r="R241" s="278">
        <v>33.574239999999996</v>
      </c>
      <c r="S241" s="278">
        <v>4798.6813700000002</v>
      </c>
      <c r="U241" s="278">
        <v>4109.3203199999998</v>
      </c>
      <c r="V241" s="278">
        <v>0</v>
      </c>
      <c r="W241" s="278">
        <v>0</v>
      </c>
      <c r="X241" s="278">
        <v>689.36105000000009</v>
      </c>
      <c r="Y241" s="278">
        <v>0</v>
      </c>
      <c r="Z241" s="278">
        <v>0</v>
      </c>
      <c r="AA241" s="278">
        <v>0</v>
      </c>
      <c r="AB241" s="278">
        <v>689.36105000000009</v>
      </c>
      <c r="AD241" s="278">
        <v>5650.4191899999996</v>
      </c>
      <c r="AE241" s="157">
        <v>4627.4665400000004</v>
      </c>
      <c r="AF241" s="184">
        <v>-171.21482999999998</v>
      </c>
      <c r="AG241" s="278">
        <v>-6756.5432499999997</v>
      </c>
      <c r="AH241" s="278">
        <v>6.5</v>
      </c>
      <c r="AI241" s="184">
        <v>216.97</v>
      </c>
      <c r="AJ241" s="278">
        <v>321.39509999999996</v>
      </c>
      <c r="AL241" s="278">
        <v>20898.227060000001</v>
      </c>
      <c r="AM241" s="184">
        <v>0</v>
      </c>
      <c r="AN241" s="278">
        <v>-90</v>
      </c>
      <c r="AO241" s="355">
        <v>6158</v>
      </c>
      <c r="AP241" s="344">
        <v>8.61</v>
      </c>
      <c r="AQ241" s="462"/>
      <c r="AS241" s="469">
        <v>4691.66957</v>
      </c>
      <c r="AT241" s="278">
        <v>23363.98043</v>
      </c>
      <c r="AU241" s="464"/>
      <c r="AV241" s="346">
        <v>15076.984210000001</v>
      </c>
      <c r="AW241" s="346">
        <v>781.82057999999995</v>
      </c>
      <c r="AX241" s="346">
        <v>2579.9890800000003</v>
      </c>
      <c r="AY241" s="346">
        <v>18438.793870000001</v>
      </c>
      <c r="AZ241" s="346">
        <v>4038.2919999999999</v>
      </c>
      <c r="BA241" s="278">
        <v>0.24301</v>
      </c>
      <c r="BB241" s="345">
        <v>426.65249999999997</v>
      </c>
      <c r="BC241" s="278">
        <v>29.00264</v>
      </c>
      <c r="BD241" s="278">
        <v>20.386389999999999</v>
      </c>
      <c r="BE241" s="346">
        <v>3498.09557</v>
      </c>
      <c r="BG241" s="343">
        <v>3089.7050199999999</v>
      </c>
      <c r="BH241" s="343">
        <v>0</v>
      </c>
      <c r="BI241" s="343">
        <v>0</v>
      </c>
      <c r="BJ241" s="346">
        <v>408.39054999999996</v>
      </c>
      <c r="BK241" s="343">
        <v>0</v>
      </c>
      <c r="BL241" s="343">
        <v>0</v>
      </c>
      <c r="BM241" s="343">
        <v>0</v>
      </c>
      <c r="BN241" s="346">
        <v>408.39054999999996</v>
      </c>
      <c r="BP241" s="346">
        <v>5448.7024699999993</v>
      </c>
      <c r="BQ241" s="318">
        <v>3194.6828500000001</v>
      </c>
      <c r="BR241" s="278">
        <v>-303.27992</v>
      </c>
      <c r="BS241" s="475">
        <v>-3622.8760200000002</v>
      </c>
      <c r="BT241" s="278">
        <v>0</v>
      </c>
      <c r="BU241" s="278">
        <v>360.89</v>
      </c>
      <c r="BV241" s="345">
        <v>262.49178000000001</v>
      </c>
      <c r="BX241" s="278">
        <v>23550</v>
      </c>
      <c r="BY241" s="483">
        <v>0</v>
      </c>
      <c r="BZ241" s="483">
        <v>2651.7729399999998</v>
      </c>
      <c r="CA241" s="260"/>
      <c r="CB241" s="347">
        <v>8.6</v>
      </c>
      <c r="CC241" s="486">
        <f t="shared" si="3"/>
        <v>8.6</v>
      </c>
      <c r="CD241" s="287"/>
      <c r="CE241" s="278"/>
      <c r="CF241" s="268"/>
      <c r="CI241" s="158">
        <v>0</v>
      </c>
      <c r="CJ241" s="343">
        <v>4229.2259359512027</v>
      </c>
      <c r="CK241" s="343">
        <v>4141.2657882025469</v>
      </c>
      <c r="CL241" s="343">
        <v>3900.1607438226674</v>
      </c>
      <c r="CM241" s="487">
        <v>3759.6135516478062</v>
      </c>
      <c r="CN241" s="487">
        <v>3834.8594520560673</v>
      </c>
      <c r="CO241" s="495">
        <v>-1652.192</v>
      </c>
      <c r="CP241" s="299"/>
      <c r="CQ241" s="489">
        <v>260.98991000000001</v>
      </c>
      <c r="CR241" s="489">
        <v>111.1138</v>
      </c>
    </row>
    <row r="242" spans="1:96" x14ac:dyDescent="0.2">
      <c r="A242" s="154">
        <v>758</v>
      </c>
      <c r="B242" s="156" t="s">
        <v>265</v>
      </c>
      <c r="C242" s="337">
        <v>8134</v>
      </c>
      <c r="D242" s="276">
        <v>21</v>
      </c>
      <c r="E242" s="185"/>
      <c r="G242" s="278">
        <v>13412.8145</v>
      </c>
      <c r="H242" s="278">
        <v>77220.832590000005</v>
      </c>
      <c r="I242" s="278"/>
      <c r="J242" s="278">
        <v>30061.205719999998</v>
      </c>
      <c r="K242" s="278">
        <v>5215.2574299999997</v>
      </c>
      <c r="L242" s="278">
        <v>8192.5987000000005</v>
      </c>
      <c r="M242" s="278">
        <v>43469.061849999998</v>
      </c>
      <c r="N242" s="278">
        <v>27283.464</v>
      </c>
      <c r="O242" s="278">
        <v>97.291060000000002</v>
      </c>
      <c r="P242" s="278">
        <v>323.49975000000001</v>
      </c>
      <c r="Q242" s="278">
        <v>2989.7465099999999</v>
      </c>
      <c r="R242" s="278">
        <v>30.421310000000002</v>
      </c>
      <c r="S242" s="278">
        <v>9677.6242700000003</v>
      </c>
      <c r="U242" s="278">
        <v>3835.4222799999998</v>
      </c>
      <c r="V242" s="278">
        <v>0</v>
      </c>
      <c r="W242" s="278">
        <v>0</v>
      </c>
      <c r="X242" s="278">
        <v>5842.2019900000005</v>
      </c>
      <c r="Y242" s="278">
        <v>-38.115120000000005</v>
      </c>
      <c r="Z242" s="278">
        <v>0</v>
      </c>
      <c r="AA242" s="278">
        <v>969.99533999999994</v>
      </c>
      <c r="AB242" s="278">
        <v>4910.3217699999996</v>
      </c>
      <c r="AD242" s="278">
        <v>12251.729079999997</v>
      </c>
      <c r="AE242" s="157">
        <v>9282.3028699999995</v>
      </c>
      <c r="AF242" s="184">
        <v>-395.5804</v>
      </c>
      <c r="AG242" s="278">
        <v>-4273.3224700000001</v>
      </c>
      <c r="AH242" s="278">
        <v>2.3057300000000001</v>
      </c>
      <c r="AI242" s="184">
        <v>213.54251000000002</v>
      </c>
      <c r="AJ242" s="278">
        <v>9853.4383699999998</v>
      </c>
      <c r="AL242" s="278">
        <v>24882.181329999996</v>
      </c>
      <c r="AM242" s="184">
        <v>423.25304999999997</v>
      </c>
      <c r="AN242" s="278">
        <v>-4290.22955</v>
      </c>
      <c r="AO242" s="355">
        <v>8126</v>
      </c>
      <c r="AP242" s="344">
        <v>8.36</v>
      </c>
      <c r="AQ242" s="462"/>
      <c r="AS242" s="469">
        <v>8320.4989700000006</v>
      </c>
      <c r="AT242" s="278">
        <v>34148.820619999999</v>
      </c>
      <c r="AU242" s="464"/>
      <c r="AV242" s="346">
        <v>15651.63984</v>
      </c>
      <c r="AW242" s="346">
        <v>4997.2366099999999</v>
      </c>
      <c r="AX242" s="346">
        <v>8404.9470199999996</v>
      </c>
      <c r="AY242" s="346">
        <v>29053.823469999999</v>
      </c>
      <c r="AZ242" s="346">
        <v>2505.27</v>
      </c>
      <c r="BA242" s="278">
        <v>326.18615</v>
      </c>
      <c r="BB242" s="345">
        <v>-706.72498999999993</v>
      </c>
      <c r="BC242" s="278">
        <v>3587.0048999999999</v>
      </c>
      <c r="BD242" s="278">
        <v>3.3352199999999996</v>
      </c>
      <c r="BE242" s="346">
        <v>10347.352640000001</v>
      </c>
      <c r="BG242" s="343">
        <v>2911.1337699999999</v>
      </c>
      <c r="BH242" s="343">
        <v>0</v>
      </c>
      <c r="BI242" s="343">
        <v>0</v>
      </c>
      <c r="BJ242" s="346">
        <v>7436.2188699999997</v>
      </c>
      <c r="BK242" s="343">
        <v>-37.972790000000003</v>
      </c>
      <c r="BL242" s="346">
        <v>0</v>
      </c>
      <c r="BM242" s="343">
        <v>726.05597</v>
      </c>
      <c r="BN242" s="346">
        <v>6748.1356900000001</v>
      </c>
      <c r="BP242" s="346">
        <v>18999.86477</v>
      </c>
      <c r="BQ242" s="318">
        <v>10518.373820000001</v>
      </c>
      <c r="BR242" s="278">
        <v>171.02117999999999</v>
      </c>
      <c r="BS242" s="475">
        <v>-5191.4470700000002</v>
      </c>
      <c r="BT242" s="278">
        <v>215</v>
      </c>
      <c r="BU242" s="278">
        <v>47.925609999999999</v>
      </c>
      <c r="BV242" s="345">
        <v>9953.0522799999999</v>
      </c>
      <c r="BX242" s="278">
        <v>22369.561060000004</v>
      </c>
      <c r="BY242" s="483">
        <v>515.38517999999999</v>
      </c>
      <c r="BZ242" s="483">
        <v>-2512.6202699999999</v>
      </c>
      <c r="CA242" s="260"/>
      <c r="CB242" s="347">
        <v>8</v>
      </c>
      <c r="CC242" s="486">
        <f t="shared" si="3"/>
        <v>8</v>
      </c>
      <c r="CD242" s="287"/>
      <c r="CE242" s="278"/>
      <c r="CF242" s="268"/>
      <c r="CI242" s="158">
        <v>0</v>
      </c>
      <c r="CJ242" s="343">
        <v>5714.8140996426309</v>
      </c>
      <c r="CK242" s="343">
        <v>5413.0663800646835</v>
      </c>
      <c r="CL242" s="343">
        <v>5086.1993969222895</v>
      </c>
      <c r="CM242" s="487">
        <v>5512.0294997092305</v>
      </c>
      <c r="CN242" s="487">
        <v>5836.1628872435913</v>
      </c>
      <c r="CO242" s="495">
        <v>-875.41</v>
      </c>
      <c r="CP242" s="299"/>
      <c r="CQ242" s="489">
        <v>0</v>
      </c>
      <c r="CR242" s="489">
        <v>0</v>
      </c>
    </row>
    <row r="243" spans="1:96" x14ac:dyDescent="0.2">
      <c r="A243" s="154">
        <v>759</v>
      </c>
      <c r="B243" s="156" t="s">
        <v>266</v>
      </c>
      <c r="C243" s="337">
        <v>1942</v>
      </c>
      <c r="D243" s="276">
        <v>21.749999999999996</v>
      </c>
      <c r="E243" s="185"/>
      <c r="G243" s="278">
        <v>2855.7255399999999</v>
      </c>
      <c r="H243" s="278">
        <v>17415.607670000001</v>
      </c>
      <c r="I243" s="278"/>
      <c r="J243" s="278">
        <v>5200.7320499999996</v>
      </c>
      <c r="K243" s="278">
        <v>1402.04259</v>
      </c>
      <c r="L243" s="278">
        <v>662.24757999999997</v>
      </c>
      <c r="M243" s="278">
        <v>7265.0222199999998</v>
      </c>
      <c r="N243" s="278">
        <v>8545.32</v>
      </c>
      <c r="O243" s="278">
        <v>6.2055600000000002</v>
      </c>
      <c r="P243" s="278">
        <v>37.142629999999997</v>
      </c>
      <c r="Q243" s="278">
        <v>50.016849999999998</v>
      </c>
      <c r="R243" s="278">
        <v>34.34769</v>
      </c>
      <c r="S243" s="278">
        <v>1235.19218</v>
      </c>
      <c r="U243" s="278">
        <v>542.57444999999996</v>
      </c>
      <c r="V243" s="278">
        <v>0</v>
      </c>
      <c r="W243" s="278">
        <v>0</v>
      </c>
      <c r="X243" s="278">
        <v>692.61772999999994</v>
      </c>
      <c r="Y243" s="278">
        <v>0</v>
      </c>
      <c r="Z243" s="278">
        <v>0</v>
      </c>
      <c r="AA243" s="278">
        <v>0</v>
      </c>
      <c r="AB243" s="278">
        <v>692.61772999999994</v>
      </c>
      <c r="AD243" s="278">
        <v>4472.4537900000005</v>
      </c>
      <c r="AE243" s="157">
        <v>1235.2192399999999</v>
      </c>
      <c r="AF243" s="184">
        <v>2.7059999999999997E-2</v>
      </c>
      <c r="AG243" s="278">
        <v>-405.56813</v>
      </c>
      <c r="AH243" s="278">
        <v>0</v>
      </c>
      <c r="AI243" s="184">
        <v>5.0501000000000005</v>
      </c>
      <c r="AJ243" s="278">
        <v>1335.0164499999998</v>
      </c>
      <c r="AL243" s="278">
        <v>6613.0879999999997</v>
      </c>
      <c r="AM243" s="184">
        <v>1.8452</v>
      </c>
      <c r="AN243" s="278">
        <v>-1179.297</v>
      </c>
      <c r="AO243" s="355">
        <v>1873</v>
      </c>
      <c r="AP243" s="344">
        <v>9.11</v>
      </c>
      <c r="AQ243" s="462"/>
      <c r="AS243" s="469">
        <v>2681.7519199999997</v>
      </c>
      <c r="AT243" s="278">
        <v>7780.8486600000006</v>
      </c>
      <c r="AU243" s="464"/>
      <c r="AV243" s="346">
        <v>2581.6884300000002</v>
      </c>
      <c r="AW243" s="346">
        <v>1076.65347</v>
      </c>
      <c r="AX243" s="346">
        <v>1149.4328500000001</v>
      </c>
      <c r="AY243" s="346">
        <v>4807.7747499999996</v>
      </c>
      <c r="AZ243" s="346">
        <v>2135.527</v>
      </c>
      <c r="BA243" s="278">
        <v>7.9453399999999998</v>
      </c>
      <c r="BB243" s="345">
        <v>122.23416</v>
      </c>
      <c r="BC243" s="278">
        <v>44.564149999999998</v>
      </c>
      <c r="BD243" s="278">
        <v>41.763599999999997</v>
      </c>
      <c r="BE243" s="346">
        <v>1732.7167400000001</v>
      </c>
      <c r="BG243" s="343">
        <v>530.46384</v>
      </c>
      <c r="BH243" s="346">
        <v>32.316939999999995</v>
      </c>
      <c r="BI243" s="343">
        <v>0</v>
      </c>
      <c r="BJ243" s="346">
        <v>1234.5698400000001</v>
      </c>
      <c r="BK243" s="343">
        <v>0</v>
      </c>
      <c r="BL243" s="343">
        <v>0</v>
      </c>
      <c r="BM243" s="343">
        <v>0</v>
      </c>
      <c r="BN243" s="346">
        <v>1234.5698400000001</v>
      </c>
      <c r="BP243" s="346">
        <v>5707.0236300000006</v>
      </c>
      <c r="BQ243" s="318">
        <v>1752.7965200000001</v>
      </c>
      <c r="BR243" s="278">
        <v>-12.237159999999999</v>
      </c>
      <c r="BS243" s="475">
        <v>-572.67150000000004</v>
      </c>
      <c r="BT243" s="278">
        <v>4.5</v>
      </c>
      <c r="BU243" s="278">
        <v>18.4621</v>
      </c>
      <c r="BV243" s="345">
        <v>2007.16842</v>
      </c>
      <c r="BX243" s="278">
        <v>5571.28352</v>
      </c>
      <c r="BY243" s="483">
        <v>14.857379999999999</v>
      </c>
      <c r="BZ243" s="483">
        <v>-1041.80448</v>
      </c>
      <c r="CA243" s="260"/>
      <c r="CB243" s="347">
        <v>9.1000000000000014</v>
      </c>
      <c r="CC243" s="486">
        <f t="shared" si="3"/>
        <v>9.1000000000000014</v>
      </c>
      <c r="CD243" s="287"/>
      <c r="CE243" s="278"/>
      <c r="CF243" s="268"/>
      <c r="CG243" s="266"/>
      <c r="CI243" s="158">
        <v>330</v>
      </c>
      <c r="CJ243" s="343">
        <v>1768.05718651083</v>
      </c>
      <c r="CK243" s="343">
        <v>1674.44616738681</v>
      </c>
      <c r="CL243" s="343">
        <v>1764.6379887355561</v>
      </c>
      <c r="CM243" s="487">
        <v>1857.1897494717241</v>
      </c>
      <c r="CN243" s="487">
        <v>2213.5649860793164</v>
      </c>
      <c r="CO243" s="495">
        <v>-503.995</v>
      </c>
      <c r="CP243" s="299"/>
      <c r="CQ243" s="489">
        <v>0</v>
      </c>
      <c r="CR243" s="489">
        <v>0</v>
      </c>
    </row>
    <row r="244" spans="1:96" x14ac:dyDescent="0.2">
      <c r="A244" s="154">
        <v>761</v>
      </c>
      <c r="B244" s="156" t="s">
        <v>267</v>
      </c>
      <c r="C244" s="337">
        <v>8426</v>
      </c>
      <c r="D244" s="276">
        <v>20.5</v>
      </c>
      <c r="E244" s="185"/>
      <c r="G244" s="278">
        <v>10162.50548</v>
      </c>
      <c r="H244" s="278">
        <v>68702.756129999994</v>
      </c>
      <c r="I244" s="278"/>
      <c r="J244" s="278">
        <v>26961.578309999997</v>
      </c>
      <c r="K244" s="278">
        <v>2350.3202700000002</v>
      </c>
      <c r="L244" s="278">
        <v>1970.31297</v>
      </c>
      <c r="M244" s="278">
        <v>31282.21155</v>
      </c>
      <c r="N244" s="278">
        <v>30110.091</v>
      </c>
      <c r="O244" s="278">
        <v>1.38019</v>
      </c>
      <c r="P244" s="278">
        <v>74.081299999999999</v>
      </c>
      <c r="Q244" s="278">
        <v>214.09697</v>
      </c>
      <c r="R244" s="278">
        <v>5.8426099999999996</v>
      </c>
      <c r="S244" s="278">
        <v>2987.6051499999999</v>
      </c>
      <c r="U244" s="278">
        <v>3051.7621099999997</v>
      </c>
      <c r="V244" s="278">
        <v>2721.94164</v>
      </c>
      <c r="W244" s="278">
        <v>0</v>
      </c>
      <c r="X244" s="278">
        <v>2657.7846800000002</v>
      </c>
      <c r="Y244" s="278">
        <v>0</v>
      </c>
      <c r="Z244" s="278">
        <v>0</v>
      </c>
      <c r="AA244" s="278">
        <v>0</v>
      </c>
      <c r="AB244" s="278">
        <v>2657.7846800000002</v>
      </c>
      <c r="AD244" s="278">
        <v>34421.970780000003</v>
      </c>
      <c r="AE244" s="157">
        <v>2981.51899</v>
      </c>
      <c r="AF244" s="184">
        <v>-2728.0277999999998</v>
      </c>
      <c r="AG244" s="278">
        <v>-4768.7960300000004</v>
      </c>
      <c r="AH244" s="278">
        <v>215.85599999999999</v>
      </c>
      <c r="AI244" s="184">
        <v>4091.0088799999999</v>
      </c>
      <c r="AJ244" s="278">
        <v>6530.7265399999997</v>
      </c>
      <c r="AL244" s="278">
        <v>12945.944439999999</v>
      </c>
      <c r="AM244" s="184">
        <v>20.495999999999999</v>
      </c>
      <c r="AN244" s="278">
        <v>-2317.9157300000002</v>
      </c>
      <c r="AO244" s="355">
        <v>8410</v>
      </c>
      <c r="AP244" s="344">
        <v>7.86</v>
      </c>
      <c r="AQ244" s="462"/>
      <c r="AS244" s="469">
        <v>7152.5698700000003</v>
      </c>
      <c r="AT244" s="278">
        <v>28752.689489999997</v>
      </c>
      <c r="AU244" s="464"/>
      <c r="AV244" s="346">
        <v>13000.607609999999</v>
      </c>
      <c r="AW244" s="346">
        <v>1452.4884199999999</v>
      </c>
      <c r="AX244" s="346">
        <v>1936.74648</v>
      </c>
      <c r="AY244" s="346">
        <v>16389.842509999999</v>
      </c>
      <c r="AZ244" s="346">
        <v>10636.527</v>
      </c>
      <c r="BA244" s="278">
        <v>1.3694999999999999</v>
      </c>
      <c r="BB244" s="345">
        <v>374.81885999999997</v>
      </c>
      <c r="BC244" s="278">
        <v>154.35648</v>
      </c>
      <c r="BD244" s="278">
        <v>13.61309</v>
      </c>
      <c r="BE244" s="346">
        <v>5193.5439200000001</v>
      </c>
      <c r="BG244" s="343">
        <v>2864.5984800000001</v>
      </c>
      <c r="BH244" s="346">
        <v>0</v>
      </c>
      <c r="BI244" s="346">
        <v>0</v>
      </c>
      <c r="BJ244" s="346">
        <v>2328.94544</v>
      </c>
      <c r="BK244" s="346">
        <v>0</v>
      </c>
      <c r="BL244" s="343">
        <v>0</v>
      </c>
      <c r="BM244" s="346">
        <v>0</v>
      </c>
      <c r="BN244" s="346">
        <v>2328.94544</v>
      </c>
      <c r="BP244" s="346">
        <v>36699.084580000002</v>
      </c>
      <c r="BQ244" s="318">
        <v>5561.1127400000005</v>
      </c>
      <c r="BR244" s="278">
        <v>367.56882000000002</v>
      </c>
      <c r="BS244" s="475">
        <v>-8833.7564700000003</v>
      </c>
      <c r="BT244" s="278">
        <v>2609.94902</v>
      </c>
      <c r="BU244" s="278">
        <v>23.207939999999997</v>
      </c>
      <c r="BV244" s="345">
        <v>4210.7282300000006</v>
      </c>
      <c r="BX244" s="278">
        <v>12735.43584</v>
      </c>
      <c r="BY244" s="483">
        <v>-71.987100000000012</v>
      </c>
      <c r="BZ244" s="483">
        <v>-210.5086</v>
      </c>
      <c r="CA244" s="260"/>
      <c r="CB244" s="347">
        <v>8.1999999999999993</v>
      </c>
      <c r="CC244" s="486">
        <f t="shared" si="3"/>
        <v>8.1999999999999993</v>
      </c>
      <c r="CD244" s="287"/>
      <c r="CE244" s="278"/>
      <c r="CF244" s="268"/>
      <c r="CI244" s="158">
        <v>0</v>
      </c>
      <c r="CJ244" s="343">
        <v>8396.1267268925239</v>
      </c>
      <c r="CK244" s="343">
        <v>9041.8571433920697</v>
      </c>
      <c r="CL244" s="343">
        <v>8703.652219419273</v>
      </c>
      <c r="CM244" s="487">
        <v>8742.4161037647264</v>
      </c>
      <c r="CN244" s="487">
        <v>9718.2012762208797</v>
      </c>
      <c r="CO244" s="495">
        <v>717.50599999999997</v>
      </c>
      <c r="CP244" s="299"/>
      <c r="CQ244" s="489">
        <v>0</v>
      </c>
      <c r="CR244" s="489">
        <v>0</v>
      </c>
    </row>
    <row r="245" spans="1:96" x14ac:dyDescent="0.2">
      <c r="A245" s="154">
        <v>762</v>
      </c>
      <c r="B245" s="156" t="s">
        <v>268</v>
      </c>
      <c r="C245" s="337">
        <v>3672</v>
      </c>
      <c r="D245" s="276">
        <v>21.25</v>
      </c>
      <c r="E245" s="185"/>
      <c r="G245" s="278">
        <v>3827.85934</v>
      </c>
      <c r="H245" s="278">
        <v>33156.30906</v>
      </c>
      <c r="I245" s="278"/>
      <c r="J245" s="278">
        <v>10597.0545</v>
      </c>
      <c r="K245" s="278">
        <v>3338.6775899999998</v>
      </c>
      <c r="L245" s="278">
        <v>1046.96399</v>
      </c>
      <c r="M245" s="278">
        <v>14982.69608</v>
      </c>
      <c r="N245" s="278">
        <v>16217.503000000001</v>
      </c>
      <c r="O245" s="278">
        <v>8.5003299999999999</v>
      </c>
      <c r="P245" s="278">
        <v>66.37115</v>
      </c>
      <c r="Q245" s="278">
        <v>629.47568000000001</v>
      </c>
      <c r="R245" s="278">
        <v>2.2035500000000003</v>
      </c>
      <c r="S245" s="278">
        <v>2460.8175099999999</v>
      </c>
      <c r="U245" s="278">
        <v>1309.9289199999998</v>
      </c>
      <c r="V245" s="278">
        <v>0</v>
      </c>
      <c r="W245" s="278">
        <v>0</v>
      </c>
      <c r="X245" s="278">
        <v>1150.88859</v>
      </c>
      <c r="Y245" s="278">
        <v>-114.75339</v>
      </c>
      <c r="Z245" s="278">
        <v>200</v>
      </c>
      <c r="AA245" s="278">
        <v>0</v>
      </c>
      <c r="AB245" s="278">
        <v>1065.6419799999999</v>
      </c>
      <c r="AD245" s="278">
        <v>9019.3967100000009</v>
      </c>
      <c r="AE245" s="157">
        <v>2462.9277599999996</v>
      </c>
      <c r="AF245" s="184">
        <v>2.1102500000000002</v>
      </c>
      <c r="AG245" s="278">
        <v>-2957.1955899999998</v>
      </c>
      <c r="AH245" s="278">
        <v>0</v>
      </c>
      <c r="AI245" s="184">
        <v>5.8761999999999999</v>
      </c>
      <c r="AJ245" s="278">
        <v>5447.7397699999992</v>
      </c>
      <c r="AL245" s="278">
        <v>7185.9741699999995</v>
      </c>
      <c r="AM245" s="184">
        <v>-4.66</v>
      </c>
      <c r="AN245" s="278">
        <v>-720.23628000000008</v>
      </c>
      <c r="AO245" s="355">
        <v>3637</v>
      </c>
      <c r="AP245" s="344">
        <v>8.61</v>
      </c>
      <c r="AQ245" s="462"/>
      <c r="AS245" s="469">
        <v>3677.4074100000003</v>
      </c>
      <c r="AT245" s="278">
        <v>14150.640960000001</v>
      </c>
      <c r="AU245" s="464"/>
      <c r="AV245" s="346">
        <v>5261.3025499999994</v>
      </c>
      <c r="AW245" s="346">
        <v>1803.2593700000002</v>
      </c>
      <c r="AX245" s="346">
        <v>1035.2683999999999</v>
      </c>
      <c r="AY245" s="346">
        <v>8099.83032</v>
      </c>
      <c r="AZ245" s="346">
        <v>4462.3360000000002</v>
      </c>
      <c r="BA245" s="278">
        <v>135.42791</v>
      </c>
      <c r="BB245" s="345">
        <v>160.91457</v>
      </c>
      <c r="BC245" s="278">
        <v>606.71484999999996</v>
      </c>
      <c r="BD245" s="278">
        <v>3.2888500000000001</v>
      </c>
      <c r="BE245" s="346">
        <v>2685.3455800000002</v>
      </c>
      <c r="BG245" s="343">
        <v>1226.75982</v>
      </c>
      <c r="BH245" s="343">
        <v>0</v>
      </c>
      <c r="BI245" s="343">
        <v>0</v>
      </c>
      <c r="BJ245" s="346">
        <v>1458.5857599999999</v>
      </c>
      <c r="BK245" s="343">
        <v>2786.2794599999997</v>
      </c>
      <c r="BL245" s="343">
        <v>-2250</v>
      </c>
      <c r="BM245" s="343">
        <v>0</v>
      </c>
      <c r="BN245" s="346">
        <v>922.30630000000008</v>
      </c>
      <c r="BP245" s="346">
        <v>9941.7030100000011</v>
      </c>
      <c r="BQ245" s="318">
        <v>3186.78422</v>
      </c>
      <c r="BR245" s="278">
        <v>507</v>
      </c>
      <c r="BS245" s="475">
        <v>-2215.6453799999999</v>
      </c>
      <c r="BT245" s="278">
        <v>70.89</v>
      </c>
      <c r="BU245" s="278">
        <v>1905.9423100000001</v>
      </c>
      <c r="BV245" s="345">
        <v>5138.0597900000002</v>
      </c>
      <c r="BX245" s="278">
        <v>5485.1607100000001</v>
      </c>
      <c r="BY245" s="483">
        <v>0</v>
      </c>
      <c r="BZ245" s="483">
        <v>-1695.2521000000002</v>
      </c>
      <c r="CA245" s="260"/>
      <c r="CB245" s="347">
        <v>8.6</v>
      </c>
      <c r="CC245" s="486">
        <f t="shared" si="3"/>
        <v>8.6</v>
      </c>
      <c r="CD245" s="287"/>
      <c r="CE245" s="278"/>
      <c r="CF245" s="268"/>
      <c r="CI245" s="158">
        <v>0</v>
      </c>
      <c r="CJ245" s="343">
        <v>4644.2704994960914</v>
      </c>
      <c r="CK245" s="343">
        <v>5084.7909256901048</v>
      </c>
      <c r="CL245" s="343">
        <v>5208.5676575566122</v>
      </c>
      <c r="CM245" s="487">
        <v>5293.9879048381281</v>
      </c>
      <c r="CN245" s="487">
        <v>5849.1806293466771</v>
      </c>
      <c r="CO245" s="495">
        <v>-45.284999999999997</v>
      </c>
      <c r="CP245" s="299"/>
      <c r="CQ245" s="489">
        <v>19.666840000000001</v>
      </c>
      <c r="CR245" s="489">
        <v>18.473470000000002</v>
      </c>
    </row>
    <row r="246" spans="1:96" x14ac:dyDescent="0.2">
      <c r="A246" s="154">
        <v>765</v>
      </c>
      <c r="B246" s="156" t="s">
        <v>269</v>
      </c>
      <c r="C246" s="337">
        <v>10354</v>
      </c>
      <c r="D246" s="276">
        <v>19.75</v>
      </c>
      <c r="E246" s="185"/>
      <c r="G246" s="278">
        <v>12997.273570000001</v>
      </c>
      <c r="H246" s="278">
        <v>90365.818140000003</v>
      </c>
      <c r="I246" s="278"/>
      <c r="J246" s="278">
        <v>35273.764259999996</v>
      </c>
      <c r="K246" s="278">
        <v>5012.8617300000005</v>
      </c>
      <c r="L246" s="278">
        <v>4989.4741599999998</v>
      </c>
      <c r="M246" s="278">
        <v>45276.100149999998</v>
      </c>
      <c r="N246" s="278">
        <v>30966.831999999999</v>
      </c>
      <c r="O246" s="278">
        <v>0.62180999999999997</v>
      </c>
      <c r="P246" s="278">
        <v>144.00351000000001</v>
      </c>
      <c r="Q246" s="278">
        <v>5710.50371</v>
      </c>
      <c r="R246" s="278">
        <v>2299.2710899999997</v>
      </c>
      <c r="S246" s="278">
        <v>2166.7211299999999</v>
      </c>
      <c r="U246" s="278">
        <v>4106.3508099999999</v>
      </c>
      <c r="V246" s="278">
        <v>471.59800000000001</v>
      </c>
      <c r="W246" s="278">
        <v>0</v>
      </c>
      <c r="X246" s="278">
        <v>-1468.0316799999998</v>
      </c>
      <c r="Y246" s="278">
        <v>-81.78013</v>
      </c>
      <c r="Z246" s="278">
        <v>0</v>
      </c>
      <c r="AA246" s="278">
        <v>0</v>
      </c>
      <c r="AB246" s="278">
        <v>-1386.25155</v>
      </c>
      <c r="AD246" s="278">
        <v>51021.909209999998</v>
      </c>
      <c r="AE246" s="157">
        <v>2128.3082200000003</v>
      </c>
      <c r="AF246" s="184">
        <v>-510.01535999999999</v>
      </c>
      <c r="AG246" s="278">
        <v>-10832.591630000001</v>
      </c>
      <c r="AH246" s="278">
        <v>560.74122</v>
      </c>
      <c r="AI246" s="184">
        <v>746.58500000000004</v>
      </c>
      <c r="AJ246" s="278">
        <v>39253.84708</v>
      </c>
      <c r="AL246" s="278">
        <v>23737.817950000004</v>
      </c>
      <c r="AM246" s="184">
        <v>0</v>
      </c>
      <c r="AN246" s="278">
        <v>146.76723999999999</v>
      </c>
      <c r="AO246" s="355">
        <v>10274</v>
      </c>
      <c r="AP246" s="344">
        <v>7.1100000000000012</v>
      </c>
      <c r="AQ246" s="462"/>
      <c r="AS246" s="469">
        <v>13137.72373</v>
      </c>
      <c r="AT246" s="278">
        <v>49400.260700000006</v>
      </c>
      <c r="AU246" s="464"/>
      <c r="AV246" s="346">
        <v>16417.936279999998</v>
      </c>
      <c r="AW246" s="346">
        <v>2991.6537000000003</v>
      </c>
      <c r="AX246" s="346">
        <v>5151.1102300000002</v>
      </c>
      <c r="AY246" s="346">
        <v>24560.700210000003</v>
      </c>
      <c r="AZ246" s="346">
        <v>4834.3100000000004</v>
      </c>
      <c r="BA246" s="278">
        <v>2.17862</v>
      </c>
      <c r="BB246" s="345">
        <v>1418.0096799999999</v>
      </c>
      <c r="BC246" s="278">
        <v>4368.9512800000002</v>
      </c>
      <c r="BD246" s="278">
        <v>-798.4053100000001</v>
      </c>
      <c r="BE246" s="346">
        <v>-3051.9110299999998</v>
      </c>
      <c r="BG246" s="343">
        <v>4033.5898500000003</v>
      </c>
      <c r="BH246" s="343">
        <v>0</v>
      </c>
      <c r="BI246" s="343">
        <v>0</v>
      </c>
      <c r="BJ246" s="346">
        <v>-7085.5008799999996</v>
      </c>
      <c r="BK246" s="343">
        <v>-81.78013</v>
      </c>
      <c r="BL246" s="343">
        <v>0</v>
      </c>
      <c r="BM246" s="343">
        <v>0</v>
      </c>
      <c r="BN246" s="346">
        <v>-7003.7207500000004</v>
      </c>
      <c r="BP246" s="346">
        <v>44018.188459999998</v>
      </c>
      <c r="BQ246" s="318">
        <v>-3171.1251099999999</v>
      </c>
      <c r="BR246" s="278">
        <v>-119.21408</v>
      </c>
      <c r="BS246" s="475">
        <v>-25149.588640000002</v>
      </c>
      <c r="BT246" s="278">
        <v>2243.7885699999997</v>
      </c>
      <c r="BU246" s="278">
        <v>103.087</v>
      </c>
      <c r="BV246" s="345">
        <v>37923.039389999998</v>
      </c>
      <c r="BX246" s="278">
        <v>49655.419190000001</v>
      </c>
      <c r="BY246" s="483">
        <v>-25.147779999999997</v>
      </c>
      <c r="BZ246" s="483">
        <v>25917.60124</v>
      </c>
      <c r="CA246" s="260"/>
      <c r="CB246" s="347">
        <v>7.5</v>
      </c>
      <c r="CC246" s="486">
        <f t="shared" si="3"/>
        <v>7.5</v>
      </c>
      <c r="CD246" s="287"/>
      <c r="CE246" s="278"/>
      <c r="CF246" s="268"/>
      <c r="CI246" s="158">
        <v>0</v>
      </c>
      <c r="CJ246" s="343">
        <v>6866.8266446215866</v>
      </c>
      <c r="CK246" s="343">
        <v>7732.8051892673529</v>
      </c>
      <c r="CL246" s="343">
        <v>7620.0815292812213</v>
      </c>
      <c r="CM246" s="487">
        <v>7653.5691664210844</v>
      </c>
      <c r="CN246" s="487">
        <v>8345.6193927851382</v>
      </c>
      <c r="CO246" s="495">
        <v>656.81700000000001</v>
      </c>
      <c r="CP246" s="299"/>
      <c r="CQ246" s="489">
        <v>24.48263</v>
      </c>
      <c r="CR246" s="489">
        <v>64.090199999999996</v>
      </c>
    </row>
    <row r="247" spans="1:96" x14ac:dyDescent="0.2">
      <c r="A247" s="154">
        <v>768</v>
      </c>
      <c r="B247" s="156" t="s">
        <v>270</v>
      </c>
      <c r="C247" s="337">
        <v>2375</v>
      </c>
      <c r="D247" s="276">
        <v>21</v>
      </c>
      <c r="E247" s="185"/>
      <c r="G247" s="278">
        <v>2199.0612900000001</v>
      </c>
      <c r="H247" s="278">
        <v>21859.29176</v>
      </c>
      <c r="I247" s="278"/>
      <c r="J247" s="278">
        <v>6687.5246299999999</v>
      </c>
      <c r="K247" s="278">
        <v>1845.8351200000002</v>
      </c>
      <c r="L247" s="278">
        <v>1039.1041299999999</v>
      </c>
      <c r="M247" s="278">
        <v>9572.4638800000012</v>
      </c>
      <c r="N247" s="278">
        <v>11273.653</v>
      </c>
      <c r="O247" s="278">
        <v>3.8562399999999997</v>
      </c>
      <c r="P247" s="278">
        <v>38.958529999999996</v>
      </c>
      <c r="Q247" s="278">
        <v>209.55948999999998</v>
      </c>
      <c r="R247" s="278">
        <v>0.83969000000000005</v>
      </c>
      <c r="S247" s="278">
        <v>1359.5039199999999</v>
      </c>
      <c r="U247" s="278">
        <v>549.12995000000001</v>
      </c>
      <c r="V247" s="278">
        <v>0</v>
      </c>
      <c r="W247" s="278">
        <v>0</v>
      </c>
      <c r="X247" s="278">
        <v>810.37396999999999</v>
      </c>
      <c r="Y247" s="278">
        <v>-4.6982799999999996</v>
      </c>
      <c r="Z247" s="278">
        <v>0</v>
      </c>
      <c r="AA247" s="278">
        <v>0</v>
      </c>
      <c r="AB247" s="278">
        <v>815.07225000000005</v>
      </c>
      <c r="AD247" s="278">
        <v>6493.8940400000001</v>
      </c>
      <c r="AE247" s="157">
        <v>1320.4552699999999</v>
      </c>
      <c r="AF247" s="184">
        <v>-39.048650000000002</v>
      </c>
      <c r="AG247" s="278">
        <v>-1050.0618200000001</v>
      </c>
      <c r="AH247" s="278">
        <v>35.700000000000003</v>
      </c>
      <c r="AI247" s="184">
        <v>54.5</v>
      </c>
      <c r="AJ247" s="278">
        <v>1518.5484099999999</v>
      </c>
      <c r="AL247" s="278">
        <v>2600.018</v>
      </c>
      <c r="AM247" s="184">
        <v>-10.3337</v>
      </c>
      <c r="AN247" s="278">
        <v>166.66800000000001</v>
      </c>
      <c r="AO247" s="355">
        <v>2368</v>
      </c>
      <c r="AP247" s="344">
        <v>8.36</v>
      </c>
      <c r="AQ247" s="462"/>
      <c r="AS247" s="469">
        <v>2453.9184399999999</v>
      </c>
      <c r="AT247" s="278">
        <v>9623.2469399999991</v>
      </c>
      <c r="AU247" s="464"/>
      <c r="AV247" s="346">
        <v>3173.91338</v>
      </c>
      <c r="AW247" s="346">
        <v>979.12142000000006</v>
      </c>
      <c r="AX247" s="346">
        <v>1033.0287900000001</v>
      </c>
      <c r="AY247" s="346">
        <v>5186.0635899999997</v>
      </c>
      <c r="AZ247" s="346">
        <v>2430.3879999999999</v>
      </c>
      <c r="BA247" s="278">
        <v>7.1238100000000006</v>
      </c>
      <c r="BB247" s="345">
        <v>137.43264000000002</v>
      </c>
      <c r="BC247" s="278">
        <v>187.74976999999998</v>
      </c>
      <c r="BD247" s="278">
        <v>4.2260100000000005</v>
      </c>
      <c r="BE247" s="346">
        <v>500.33802000000003</v>
      </c>
      <c r="BG247" s="343">
        <v>578.69628</v>
      </c>
      <c r="BH247" s="346">
        <v>205.90216000000001</v>
      </c>
      <c r="BI247" s="346">
        <v>0</v>
      </c>
      <c r="BJ247" s="346">
        <v>127.54389999999999</v>
      </c>
      <c r="BK247" s="346">
        <v>-4.6982799999999996</v>
      </c>
      <c r="BL247" s="346">
        <v>0</v>
      </c>
      <c r="BM247" s="346">
        <v>0</v>
      </c>
      <c r="BN247" s="346">
        <v>132.24217999999999</v>
      </c>
      <c r="BP247" s="346">
        <v>6626.1362200000003</v>
      </c>
      <c r="BQ247" s="318">
        <v>423.47910999999999</v>
      </c>
      <c r="BR247" s="278">
        <v>-76.858910000000009</v>
      </c>
      <c r="BS247" s="475">
        <v>-955.73941000000002</v>
      </c>
      <c r="BT247" s="278">
        <v>57.313919999999996</v>
      </c>
      <c r="BU247" s="278">
        <v>108.59744999999999</v>
      </c>
      <c r="BV247" s="345">
        <v>618.75225999999998</v>
      </c>
      <c r="BX247" s="278">
        <v>2641.6860000000001</v>
      </c>
      <c r="BY247" s="483">
        <v>-236.31938</v>
      </c>
      <c r="BZ247" s="483">
        <v>2.6680000000000001</v>
      </c>
      <c r="CA247" s="260"/>
      <c r="CB247" s="347">
        <v>8.4</v>
      </c>
      <c r="CC247" s="486">
        <f t="shared" si="3"/>
        <v>8.4</v>
      </c>
      <c r="CD247" s="287"/>
      <c r="CE247" s="278"/>
      <c r="CF247" s="268"/>
      <c r="CI247" s="158">
        <v>0</v>
      </c>
      <c r="CJ247" s="343">
        <v>2963.7509509212259</v>
      </c>
      <c r="CK247" s="343">
        <v>3436.8263546967</v>
      </c>
      <c r="CL247" s="343">
        <v>3312.7050104297023</v>
      </c>
      <c r="CM247" s="487">
        <v>3432.4214548281902</v>
      </c>
      <c r="CN247" s="487">
        <v>3885.4833127474462</v>
      </c>
      <c r="CO247" s="495">
        <v>247.73500000000001</v>
      </c>
      <c r="CP247" s="299"/>
      <c r="CQ247" s="489">
        <v>0</v>
      </c>
      <c r="CR247" s="489">
        <v>0</v>
      </c>
    </row>
    <row r="248" spans="1:96" x14ac:dyDescent="0.2">
      <c r="A248" s="154">
        <v>777</v>
      </c>
      <c r="B248" s="156" t="s">
        <v>271</v>
      </c>
      <c r="C248" s="337">
        <v>7367</v>
      </c>
      <c r="D248" s="276">
        <v>21.5</v>
      </c>
      <c r="E248" s="185"/>
      <c r="G248" s="278">
        <v>9241.7008999999998</v>
      </c>
      <c r="H248" s="278">
        <v>69034.516340000002</v>
      </c>
      <c r="I248" s="278"/>
      <c r="J248" s="278">
        <v>22850.8593</v>
      </c>
      <c r="K248" s="278">
        <v>4500.9607100000003</v>
      </c>
      <c r="L248" s="278">
        <v>3471.6002799999997</v>
      </c>
      <c r="M248" s="278">
        <v>30823.420289999998</v>
      </c>
      <c r="N248" s="278">
        <v>35346.381000000001</v>
      </c>
      <c r="O248" s="278">
        <v>67.400809999999993</v>
      </c>
      <c r="P248" s="278">
        <v>130.66976</v>
      </c>
      <c r="Q248" s="278">
        <v>2479.0952599999996</v>
      </c>
      <c r="R248" s="278">
        <v>797.178</v>
      </c>
      <c r="S248" s="278">
        <v>8086.41806</v>
      </c>
      <c r="U248" s="278">
        <v>3283.1659900000004</v>
      </c>
      <c r="V248" s="278">
        <v>499.19600000000003</v>
      </c>
      <c r="W248" s="278">
        <v>0</v>
      </c>
      <c r="X248" s="278">
        <v>5302.4480700000004</v>
      </c>
      <c r="Y248" s="278">
        <v>0</v>
      </c>
      <c r="Z248" s="278">
        <v>0</v>
      </c>
      <c r="AA248" s="278">
        <v>57.887999999999998</v>
      </c>
      <c r="AB248" s="278">
        <v>5244.5600700000005</v>
      </c>
      <c r="AD248" s="278">
        <v>16710.30114</v>
      </c>
      <c r="AE248" s="157">
        <v>8539.0276300000005</v>
      </c>
      <c r="AF248" s="184">
        <v>-46.58643</v>
      </c>
      <c r="AG248" s="278">
        <v>-9370.0128399999994</v>
      </c>
      <c r="AH248" s="278">
        <v>-3.3475000000000001</v>
      </c>
      <c r="AI248" s="184">
        <v>131.09867000000003</v>
      </c>
      <c r="AJ248" s="278">
        <v>13546.10374</v>
      </c>
      <c r="AL248" s="278">
        <v>27330.858929999999</v>
      </c>
      <c r="AM248" s="184">
        <v>0</v>
      </c>
      <c r="AN248" s="278">
        <v>1450.0459499999999</v>
      </c>
      <c r="AO248" s="355">
        <v>7172</v>
      </c>
      <c r="AP248" s="344">
        <v>8.86</v>
      </c>
      <c r="AQ248" s="462"/>
      <c r="AS248" s="469">
        <v>10400.044169999999</v>
      </c>
      <c r="AT248" s="278">
        <v>29634.310309999997</v>
      </c>
      <c r="AU248" s="464"/>
      <c r="AV248" s="346">
        <v>11256.43981</v>
      </c>
      <c r="AW248" s="346">
        <v>2441.6932599999996</v>
      </c>
      <c r="AX248" s="346">
        <v>3590.9907000000003</v>
      </c>
      <c r="AY248" s="346">
        <v>17289.123769999998</v>
      </c>
      <c r="AZ248" s="346">
        <v>7492.482</v>
      </c>
      <c r="BA248" s="278">
        <v>176.20779999999999</v>
      </c>
      <c r="BB248" s="345">
        <v>771.09523999999999</v>
      </c>
      <c r="BC248" s="278">
        <v>755.57256000000007</v>
      </c>
      <c r="BD248" s="278">
        <v>208.02816000000001</v>
      </c>
      <c r="BE248" s="346">
        <v>5639.6036100000001</v>
      </c>
      <c r="BG248" s="343">
        <v>5525.0466500000002</v>
      </c>
      <c r="BH248" s="346">
        <v>0</v>
      </c>
      <c r="BI248" s="343">
        <v>0</v>
      </c>
      <c r="BJ248" s="346">
        <v>114.55696</v>
      </c>
      <c r="BK248" s="343">
        <v>0</v>
      </c>
      <c r="BL248" s="343">
        <v>0</v>
      </c>
      <c r="BM248" s="343">
        <v>-461.02875</v>
      </c>
      <c r="BN248" s="346">
        <v>575.58570999999995</v>
      </c>
      <c r="BP248" s="346">
        <v>17285.886849999999</v>
      </c>
      <c r="BQ248" s="318">
        <v>5523.9239600000001</v>
      </c>
      <c r="BR248" s="278">
        <v>-115.67965</v>
      </c>
      <c r="BS248" s="475">
        <v>-1916.7092600000001</v>
      </c>
      <c r="BT248" s="278">
        <v>914.23967000000005</v>
      </c>
      <c r="BU248" s="278">
        <v>115.67965</v>
      </c>
      <c r="BV248" s="345">
        <v>21315.218370000002</v>
      </c>
      <c r="BX248" s="278">
        <v>28437.22595</v>
      </c>
      <c r="BY248" s="483">
        <v>0</v>
      </c>
      <c r="BZ248" s="483">
        <v>1106.3670199999999</v>
      </c>
      <c r="CA248" s="260"/>
      <c r="CB248" s="347">
        <v>8.9</v>
      </c>
      <c r="CC248" s="486">
        <f t="shared" si="3"/>
        <v>8.9</v>
      </c>
      <c r="CD248" s="287"/>
      <c r="CE248" s="278"/>
      <c r="CF248" s="268"/>
      <c r="CI248" s="158">
        <v>0</v>
      </c>
      <c r="CJ248" s="343">
        <v>8156.2866361031611</v>
      </c>
      <c r="CK248" s="343">
        <v>8845.7316303956286</v>
      </c>
      <c r="CL248" s="343">
        <v>9283.091574048538</v>
      </c>
      <c r="CM248" s="487">
        <v>9292.062156010159</v>
      </c>
      <c r="CN248" s="487">
        <v>10672.07411895845</v>
      </c>
      <c r="CO248" s="495">
        <v>-117.883</v>
      </c>
      <c r="CP248" s="299"/>
      <c r="CQ248" s="489">
        <v>90.783899999999988</v>
      </c>
      <c r="CR248" s="489">
        <v>139.60701999999998</v>
      </c>
    </row>
    <row r="249" spans="1:96" x14ac:dyDescent="0.2">
      <c r="A249" s="154">
        <v>778</v>
      </c>
      <c r="B249" s="156" t="s">
        <v>272</v>
      </c>
      <c r="C249" s="337">
        <v>6763</v>
      </c>
      <c r="D249" s="276">
        <v>21.749999999999996</v>
      </c>
      <c r="E249" s="185"/>
      <c r="G249" s="278">
        <v>7393.1235399999996</v>
      </c>
      <c r="H249" s="278">
        <v>58962.079369999999</v>
      </c>
      <c r="I249" s="278"/>
      <c r="J249" s="278">
        <v>22058.15929</v>
      </c>
      <c r="K249" s="278">
        <v>2735.5688799999998</v>
      </c>
      <c r="L249" s="278">
        <v>1908.6448799999998</v>
      </c>
      <c r="M249" s="278">
        <v>26702.373050000002</v>
      </c>
      <c r="N249" s="278">
        <v>27447.288</v>
      </c>
      <c r="O249" s="278">
        <v>189.47613000000001</v>
      </c>
      <c r="P249" s="278">
        <v>399.75457</v>
      </c>
      <c r="Q249" s="278">
        <v>952.44007999999997</v>
      </c>
      <c r="R249" s="278">
        <v>2.06E-2</v>
      </c>
      <c r="S249" s="278">
        <v>3429.8782000000001</v>
      </c>
      <c r="U249" s="278">
        <v>2358.5586400000002</v>
      </c>
      <c r="V249" s="278">
        <v>3.1211100000000003</v>
      </c>
      <c r="W249" s="278">
        <v>0</v>
      </c>
      <c r="X249" s="278">
        <v>1074.44067</v>
      </c>
      <c r="Y249" s="278">
        <v>0</v>
      </c>
      <c r="Z249" s="278">
        <v>0</v>
      </c>
      <c r="AA249" s="278">
        <v>0</v>
      </c>
      <c r="AB249" s="278">
        <v>1074.44067</v>
      </c>
      <c r="AD249" s="278">
        <v>8915.4704499999989</v>
      </c>
      <c r="AE249" s="157">
        <v>3301.2963399999999</v>
      </c>
      <c r="AF249" s="184">
        <v>-131.70296999999999</v>
      </c>
      <c r="AG249" s="278">
        <v>-1232.2923500000002</v>
      </c>
      <c r="AH249" s="278">
        <v>25.078859999999999</v>
      </c>
      <c r="AI249" s="184">
        <v>259.58296999999999</v>
      </c>
      <c r="AJ249" s="278">
        <v>3968.8821699999994</v>
      </c>
      <c r="AL249" s="278">
        <v>20561.224949999996</v>
      </c>
      <c r="AM249" s="184">
        <v>0</v>
      </c>
      <c r="AN249" s="278">
        <v>-2846.6222000000002</v>
      </c>
      <c r="AO249" s="355">
        <v>6708</v>
      </c>
      <c r="AP249" s="344">
        <v>9.11</v>
      </c>
      <c r="AQ249" s="462"/>
      <c r="AS249" s="469">
        <v>6013.2392399999999</v>
      </c>
      <c r="AT249" s="278">
        <v>24947.039230000002</v>
      </c>
      <c r="AU249" s="464"/>
      <c r="AV249" s="346">
        <v>11263.020109999999</v>
      </c>
      <c r="AW249" s="346">
        <v>2599.56367</v>
      </c>
      <c r="AX249" s="346">
        <v>2006.35636</v>
      </c>
      <c r="AY249" s="346">
        <v>15868.940140000001</v>
      </c>
      <c r="AZ249" s="346">
        <v>5171.1009999999997</v>
      </c>
      <c r="BA249" s="278">
        <v>216.89983999999998</v>
      </c>
      <c r="BB249" s="345">
        <v>797.90622999999994</v>
      </c>
      <c r="BC249" s="278">
        <v>1132.6941999999999</v>
      </c>
      <c r="BD249" s="278">
        <v>8.0999999999999996E-3</v>
      </c>
      <c r="BE249" s="346">
        <v>2747.52531</v>
      </c>
      <c r="BG249" s="343">
        <v>2860.4965400000001</v>
      </c>
      <c r="BH249" s="343">
        <v>198.23755</v>
      </c>
      <c r="BI249" s="343">
        <v>60.421500000000002</v>
      </c>
      <c r="BJ249" s="346">
        <v>24.844819999999999</v>
      </c>
      <c r="BK249" s="346">
        <v>0</v>
      </c>
      <c r="BL249" s="343">
        <v>0</v>
      </c>
      <c r="BM249" s="343">
        <v>0</v>
      </c>
      <c r="BN249" s="346">
        <v>24.844819999999999</v>
      </c>
      <c r="BP249" s="346">
        <v>8815.8337800000008</v>
      </c>
      <c r="BQ249" s="318">
        <v>3653.6642900000002</v>
      </c>
      <c r="BR249" s="278">
        <v>768.32293000000004</v>
      </c>
      <c r="BS249" s="475">
        <v>-2043.0529299999998</v>
      </c>
      <c r="BT249" s="278">
        <v>0</v>
      </c>
      <c r="BU249" s="278">
        <v>858.59331999999995</v>
      </c>
      <c r="BV249" s="345">
        <v>927.08219999999994</v>
      </c>
      <c r="BX249" s="278">
        <v>16203.413349999999</v>
      </c>
      <c r="BY249" s="483">
        <v>0</v>
      </c>
      <c r="BZ249" s="483">
        <v>-4357.8116</v>
      </c>
      <c r="CA249" s="260"/>
      <c r="CB249" s="347">
        <v>9.1</v>
      </c>
      <c r="CC249" s="486">
        <f t="shared" si="3"/>
        <v>9.1</v>
      </c>
      <c r="CD249" s="287"/>
      <c r="CE249" s="278"/>
      <c r="CF249" s="268"/>
      <c r="CI249" s="158">
        <v>0</v>
      </c>
      <c r="CJ249" s="343">
        <v>5823.5679774233849</v>
      </c>
      <c r="CK249" s="343">
        <v>5442.0538653862723</v>
      </c>
      <c r="CL249" s="343">
        <v>4404.5630545397953</v>
      </c>
      <c r="CM249" s="487">
        <v>4309.538452092801</v>
      </c>
      <c r="CN249" s="487">
        <v>4998.024897747363</v>
      </c>
      <c r="CO249" s="495">
        <v>165.88</v>
      </c>
      <c r="CP249" s="299"/>
      <c r="CQ249" s="489">
        <v>107.03194000000001</v>
      </c>
      <c r="CR249" s="489">
        <v>89.60445</v>
      </c>
    </row>
    <row r="250" spans="1:96" x14ac:dyDescent="0.2">
      <c r="A250" s="154">
        <v>781</v>
      </c>
      <c r="B250" s="156" t="s">
        <v>273</v>
      </c>
      <c r="C250" s="337">
        <v>3504</v>
      </c>
      <c r="D250" s="276">
        <v>19</v>
      </c>
      <c r="E250" s="185"/>
      <c r="G250" s="278">
        <v>18018.165100000002</v>
      </c>
      <c r="H250" s="278">
        <v>45361.218150000001</v>
      </c>
      <c r="I250" s="278"/>
      <c r="J250" s="278">
        <v>9668.5045300000002</v>
      </c>
      <c r="K250" s="278">
        <v>2210.9168799999998</v>
      </c>
      <c r="L250" s="278">
        <v>2136.5061700000001</v>
      </c>
      <c r="M250" s="278">
        <v>14015.927730000001</v>
      </c>
      <c r="N250" s="278">
        <v>15502.200999999999</v>
      </c>
      <c r="O250" s="278">
        <v>13.186219999999999</v>
      </c>
      <c r="P250" s="278">
        <v>4.6028500000000001</v>
      </c>
      <c r="Q250" s="278">
        <v>253.58867999999998</v>
      </c>
      <c r="R250" s="278">
        <v>12.45565</v>
      </c>
      <c r="S250" s="278">
        <v>2424.7920800000002</v>
      </c>
      <c r="U250" s="278">
        <v>1189.8178799999998</v>
      </c>
      <c r="V250" s="278">
        <v>0</v>
      </c>
      <c r="W250" s="278">
        <v>7.9434300000000002</v>
      </c>
      <c r="X250" s="278">
        <v>1227.0307700000001</v>
      </c>
      <c r="Y250" s="278">
        <v>3828.46549</v>
      </c>
      <c r="Z250" s="278">
        <v>-3300</v>
      </c>
      <c r="AA250" s="278">
        <v>0</v>
      </c>
      <c r="AB250" s="278">
        <v>698.56528000000003</v>
      </c>
      <c r="AD250" s="278">
        <v>6182.1247999999996</v>
      </c>
      <c r="AE250" s="157">
        <v>2432.73551</v>
      </c>
      <c r="AF250" s="184">
        <v>0</v>
      </c>
      <c r="AG250" s="278">
        <v>-4744.2698499999997</v>
      </c>
      <c r="AH250" s="278">
        <v>0</v>
      </c>
      <c r="AI250" s="184">
        <v>9.60093</v>
      </c>
      <c r="AJ250" s="278">
        <v>5545.4886500000002</v>
      </c>
      <c r="AL250" s="278">
        <v>3307.737619999999</v>
      </c>
      <c r="AM250" s="184">
        <v>0</v>
      </c>
      <c r="AN250" s="278">
        <v>-707.49199999999996</v>
      </c>
      <c r="AO250" s="355">
        <v>3496</v>
      </c>
      <c r="AP250" s="344">
        <v>6.36</v>
      </c>
      <c r="AQ250" s="462"/>
      <c r="AS250" s="469">
        <v>16768.173619999998</v>
      </c>
      <c r="AT250" s="278">
        <v>25407.698909999999</v>
      </c>
      <c r="AU250" s="464"/>
      <c r="AV250" s="346">
        <v>3977.6279100000002</v>
      </c>
      <c r="AW250" s="346">
        <v>1324.99577</v>
      </c>
      <c r="AX250" s="346">
        <v>2186.4958900000001</v>
      </c>
      <c r="AY250" s="346">
        <v>7489.1195700000007</v>
      </c>
      <c r="AZ250" s="346">
        <v>3579.9079999999999</v>
      </c>
      <c r="BA250" s="278">
        <v>94.673810000000003</v>
      </c>
      <c r="BB250" s="345">
        <v>51.420180000000002</v>
      </c>
      <c r="BC250" s="278">
        <v>234.34870999999998</v>
      </c>
      <c r="BD250" s="278">
        <v>9.4465400000000006</v>
      </c>
      <c r="BE250" s="346">
        <v>2697.6580800000002</v>
      </c>
      <c r="BG250" s="343">
        <v>1926.2908</v>
      </c>
      <c r="BH250" s="343">
        <v>0</v>
      </c>
      <c r="BI250" s="343">
        <v>0</v>
      </c>
      <c r="BJ250" s="346">
        <v>771.36728000000005</v>
      </c>
      <c r="BK250" s="343">
        <v>-422.60161999999997</v>
      </c>
      <c r="BL250" s="343">
        <v>700</v>
      </c>
      <c r="BM250" s="346">
        <v>0</v>
      </c>
      <c r="BN250" s="346">
        <v>493.96890000000002</v>
      </c>
      <c r="BP250" s="346">
        <v>6676.0936999999994</v>
      </c>
      <c r="BQ250" s="318">
        <v>2702.7601500000001</v>
      </c>
      <c r="BR250" s="278">
        <v>5.1020699999999994</v>
      </c>
      <c r="BS250" s="475">
        <v>-1686.1817699999999</v>
      </c>
      <c r="BT250" s="278">
        <v>0</v>
      </c>
      <c r="BU250" s="278">
        <v>2440.7589500000004</v>
      </c>
      <c r="BV250" s="345">
        <v>0</v>
      </c>
      <c r="BX250" s="278">
        <v>8.801639999999999</v>
      </c>
      <c r="BY250" s="483">
        <v>0</v>
      </c>
      <c r="BZ250" s="483">
        <v>-3307.7375999999999</v>
      </c>
      <c r="CA250" s="260"/>
      <c r="CB250" s="347">
        <v>6.4</v>
      </c>
      <c r="CC250" s="486">
        <f t="shared" si="3"/>
        <v>6.4</v>
      </c>
      <c r="CD250" s="287"/>
      <c r="CE250" s="278"/>
      <c r="CF250" s="268"/>
      <c r="CI250" s="158">
        <v>0</v>
      </c>
      <c r="CJ250" s="343">
        <v>3719.1522103638472</v>
      </c>
      <c r="CK250" s="343">
        <v>4065.3013296573536</v>
      </c>
      <c r="CL250" s="343">
        <v>4083.1734088505209</v>
      </c>
      <c r="CM250" s="487">
        <v>4085.2302712166356</v>
      </c>
      <c r="CN250" s="487">
        <v>4771.0023776709904</v>
      </c>
      <c r="CO250" s="495">
        <v>-324.82600000000002</v>
      </c>
      <c r="CP250" s="299"/>
      <c r="CQ250" s="489">
        <v>0</v>
      </c>
      <c r="CR250" s="489">
        <v>0</v>
      </c>
    </row>
    <row r="251" spans="1:96" x14ac:dyDescent="0.2">
      <c r="A251" s="154">
        <v>783</v>
      </c>
      <c r="B251" s="156" t="s">
        <v>274</v>
      </c>
      <c r="C251" s="337">
        <v>6419</v>
      </c>
      <c r="D251" s="276">
        <v>21.5</v>
      </c>
      <c r="E251" s="185"/>
      <c r="G251" s="278">
        <v>9264.6031000000003</v>
      </c>
      <c r="H251" s="278">
        <v>51629.878770000003</v>
      </c>
      <c r="I251" s="278"/>
      <c r="J251" s="278">
        <v>24920.15094</v>
      </c>
      <c r="K251" s="278">
        <v>2218.9596800000004</v>
      </c>
      <c r="L251" s="278">
        <v>2142.5094300000001</v>
      </c>
      <c r="M251" s="278">
        <v>29281.620050000001</v>
      </c>
      <c r="N251" s="278">
        <v>16154.834000000001</v>
      </c>
      <c r="O251" s="278">
        <v>2.4398599999999999</v>
      </c>
      <c r="P251" s="278">
        <v>33.05592</v>
      </c>
      <c r="Q251" s="278">
        <v>69.903970000000001</v>
      </c>
      <c r="R251" s="278">
        <v>2.8377399999999997</v>
      </c>
      <c r="S251" s="278">
        <v>3145.1557699999998</v>
      </c>
      <c r="U251" s="278">
        <v>2235.19011</v>
      </c>
      <c r="V251" s="278">
        <v>0</v>
      </c>
      <c r="W251" s="278">
        <v>0</v>
      </c>
      <c r="X251" s="278">
        <v>909.96566000000007</v>
      </c>
      <c r="Y251" s="278">
        <v>-0.50112999999999996</v>
      </c>
      <c r="Z251" s="278">
        <v>0</v>
      </c>
      <c r="AA251" s="278">
        <v>0</v>
      </c>
      <c r="AB251" s="278">
        <v>910.46679000000006</v>
      </c>
      <c r="AD251" s="278">
        <v>5595.9682599999996</v>
      </c>
      <c r="AE251" s="157">
        <v>3062.8652499999998</v>
      </c>
      <c r="AF251" s="184">
        <v>-82.290520000000001</v>
      </c>
      <c r="AG251" s="278">
        <v>-2032.67914</v>
      </c>
      <c r="AH251" s="278">
        <v>0</v>
      </c>
      <c r="AI251" s="184">
        <v>512.71946000000003</v>
      </c>
      <c r="AJ251" s="278">
        <v>4185.7263600000006</v>
      </c>
      <c r="AL251" s="278">
        <v>5420.6589999999978</v>
      </c>
      <c r="AM251" s="184">
        <v>0</v>
      </c>
      <c r="AN251" s="278">
        <v>-3489.0859999999998</v>
      </c>
      <c r="AO251" s="355">
        <v>6377</v>
      </c>
      <c r="AP251" s="344">
        <v>8.86</v>
      </c>
      <c r="AQ251" s="462"/>
      <c r="AS251" s="469">
        <v>9012.0422600000002</v>
      </c>
      <c r="AT251" s="278">
        <v>22098.176179999999</v>
      </c>
      <c r="AU251" s="464"/>
      <c r="AV251" s="346">
        <v>12493.967929999999</v>
      </c>
      <c r="AW251" s="346">
        <v>1487.8368899999998</v>
      </c>
      <c r="AX251" s="346">
        <v>2001.51802</v>
      </c>
      <c r="AY251" s="346">
        <v>15983.322840000001</v>
      </c>
      <c r="AZ251" s="346">
        <v>3569.0390000000002</v>
      </c>
      <c r="BA251" s="278">
        <v>116.87374000000001</v>
      </c>
      <c r="BB251" s="345">
        <v>151.23481000000001</v>
      </c>
      <c r="BC251" s="278">
        <v>45.217480000000002</v>
      </c>
      <c r="BD251" s="278">
        <v>2.99085</v>
      </c>
      <c r="BE251" s="346">
        <v>6474.0934800000005</v>
      </c>
      <c r="BG251" s="343">
        <v>2306.3068599999997</v>
      </c>
      <c r="BH251" s="343">
        <v>0</v>
      </c>
      <c r="BI251" s="343">
        <v>0</v>
      </c>
      <c r="BJ251" s="346">
        <v>4167.7866199999999</v>
      </c>
      <c r="BK251" s="343">
        <v>-0.37585000000000002</v>
      </c>
      <c r="BL251" s="343">
        <v>0</v>
      </c>
      <c r="BM251" s="343">
        <v>0</v>
      </c>
      <c r="BN251" s="346">
        <v>4168.1624700000002</v>
      </c>
      <c r="BP251" s="346">
        <v>9764.1307300000008</v>
      </c>
      <c r="BQ251" s="318">
        <v>6437.2232400000003</v>
      </c>
      <c r="BR251" s="278">
        <v>-36.870239999999995</v>
      </c>
      <c r="BS251" s="475">
        <v>-3839.5757599999997</v>
      </c>
      <c r="BT251" s="278">
        <v>53.801000000000002</v>
      </c>
      <c r="BU251" s="278">
        <v>70.819999999999993</v>
      </c>
      <c r="BV251" s="345">
        <v>2958.67418</v>
      </c>
      <c r="BX251" s="278">
        <v>4931.5730000000003</v>
      </c>
      <c r="BY251" s="483">
        <v>0</v>
      </c>
      <c r="BZ251" s="483">
        <v>-489.08600000000001</v>
      </c>
      <c r="CA251" s="260"/>
      <c r="CB251" s="347">
        <v>8.9000000000000021</v>
      </c>
      <c r="CC251" s="486">
        <f t="shared" si="3"/>
        <v>8.9000000000000021</v>
      </c>
      <c r="CD251" s="287"/>
      <c r="CE251" s="278"/>
      <c r="CF251" s="268"/>
      <c r="CI251" s="158">
        <v>380</v>
      </c>
      <c r="CJ251" s="343">
        <v>2637.8364378447304</v>
      </c>
      <c r="CK251" s="343">
        <v>2761.8340206789717</v>
      </c>
      <c r="CL251" s="343">
        <v>2536.6171819095684</v>
      </c>
      <c r="CM251" s="487">
        <v>2463.8146179608771</v>
      </c>
      <c r="CN251" s="487">
        <v>3009.2776774949484</v>
      </c>
      <c r="CO251" s="495">
        <v>0.58299999999999996</v>
      </c>
      <c r="CP251" s="299"/>
      <c r="CQ251" s="489">
        <v>0</v>
      </c>
      <c r="CR251" s="489">
        <v>0</v>
      </c>
    </row>
    <row r="252" spans="1:96" x14ac:dyDescent="0.2">
      <c r="A252" s="154">
        <v>831</v>
      </c>
      <c r="B252" s="156" t="s">
        <v>275</v>
      </c>
      <c r="C252" s="337">
        <v>4559</v>
      </c>
      <c r="D252" s="276">
        <v>21</v>
      </c>
      <c r="E252" s="185"/>
      <c r="G252" s="278">
        <v>3298.4546099999998</v>
      </c>
      <c r="H252" s="278">
        <v>30944.246800000001</v>
      </c>
      <c r="I252" s="278"/>
      <c r="J252" s="278">
        <v>18493.491829999999</v>
      </c>
      <c r="K252" s="278">
        <v>967.40327000000002</v>
      </c>
      <c r="L252" s="278">
        <v>2252.4316400000002</v>
      </c>
      <c r="M252" s="278">
        <v>21713.326739999997</v>
      </c>
      <c r="N252" s="278">
        <v>7132.0770000000002</v>
      </c>
      <c r="O252" s="278">
        <v>7.7441400000000007</v>
      </c>
      <c r="P252" s="278">
        <v>129.08502000000001</v>
      </c>
      <c r="Q252" s="278">
        <v>10.45107</v>
      </c>
      <c r="R252" s="278">
        <v>0.82053999999999994</v>
      </c>
      <c r="S252" s="278">
        <v>1108.5338000000002</v>
      </c>
      <c r="U252" s="278">
        <v>1527.99702</v>
      </c>
      <c r="V252" s="278">
        <v>0</v>
      </c>
      <c r="W252" s="278">
        <v>0</v>
      </c>
      <c r="X252" s="278">
        <v>-419.46321999999998</v>
      </c>
      <c r="Y252" s="278">
        <v>-92.734320000000011</v>
      </c>
      <c r="Z252" s="278">
        <v>0</v>
      </c>
      <c r="AA252" s="278">
        <v>0</v>
      </c>
      <c r="AB252" s="278">
        <v>-326.72890000000001</v>
      </c>
      <c r="AD252" s="278">
        <v>2203.7029900000002</v>
      </c>
      <c r="AE252" s="157">
        <v>627.9984300000001</v>
      </c>
      <c r="AF252" s="184">
        <v>-480.53537</v>
      </c>
      <c r="AG252" s="278">
        <v>-1003.77959</v>
      </c>
      <c r="AH252" s="278">
        <v>521.27232000000004</v>
      </c>
      <c r="AI252" s="184">
        <v>94.427999999999997</v>
      </c>
      <c r="AJ252" s="278">
        <v>400.44923999999997</v>
      </c>
      <c r="AL252" s="278">
        <v>11574.044019999999</v>
      </c>
      <c r="AM252" s="184">
        <v>0</v>
      </c>
      <c r="AN252" s="278">
        <v>-1850.0566200000001</v>
      </c>
      <c r="AO252" s="355">
        <v>4625</v>
      </c>
      <c r="AP252" s="344">
        <v>8.36</v>
      </c>
      <c r="AQ252" s="462"/>
      <c r="AS252" s="469">
        <v>2940.1281200000003</v>
      </c>
      <c r="AT252" s="278">
        <v>14748.57063</v>
      </c>
      <c r="AU252" s="464"/>
      <c r="AV252" s="346">
        <v>9155.2194399999989</v>
      </c>
      <c r="AW252" s="346">
        <v>557.97573999999997</v>
      </c>
      <c r="AX252" s="346">
        <v>2150.80296</v>
      </c>
      <c r="AY252" s="346">
        <v>11863.99814</v>
      </c>
      <c r="AZ252" s="346">
        <v>2839.8980000000001</v>
      </c>
      <c r="BA252" s="278">
        <v>7.7441400000000007</v>
      </c>
      <c r="BB252" s="345">
        <v>286.25465000000003</v>
      </c>
      <c r="BC252" s="278">
        <v>9.3641500000000004</v>
      </c>
      <c r="BD252" s="278">
        <v>3.4369999999999998E-2</v>
      </c>
      <c r="BE252" s="346">
        <v>2626.2728999999999</v>
      </c>
      <c r="BG252" s="343">
        <v>1492.1569299999999</v>
      </c>
      <c r="BH252" s="343">
        <v>0</v>
      </c>
      <c r="BI252" s="343">
        <v>0</v>
      </c>
      <c r="BJ252" s="346">
        <v>1134.1159700000001</v>
      </c>
      <c r="BK252" s="343">
        <v>-92.734320000000011</v>
      </c>
      <c r="BL252" s="343">
        <v>0</v>
      </c>
      <c r="BM252" s="343">
        <v>0</v>
      </c>
      <c r="BN252" s="346">
        <v>1226.8502900000001</v>
      </c>
      <c r="BP252" s="346">
        <v>3430.5532800000001</v>
      </c>
      <c r="BQ252" s="318">
        <v>2645.1056800000001</v>
      </c>
      <c r="BR252" s="278">
        <v>18.83278</v>
      </c>
      <c r="BS252" s="475">
        <v>-1350.3596699999998</v>
      </c>
      <c r="BT252" s="278">
        <v>252.77045000000001</v>
      </c>
      <c r="BU252" s="278">
        <v>16.5</v>
      </c>
      <c r="BV252" s="345">
        <v>367.82946999999996</v>
      </c>
      <c r="BX252" s="278">
        <v>9839.7644</v>
      </c>
      <c r="BY252" s="483">
        <v>0</v>
      </c>
      <c r="BZ252" s="483">
        <v>-1734.27962</v>
      </c>
      <c r="CA252" s="260"/>
      <c r="CB252" s="347">
        <v>8.4</v>
      </c>
      <c r="CC252" s="486">
        <f t="shared" si="3"/>
        <v>8.4</v>
      </c>
      <c r="CD252" s="287"/>
      <c r="CE252" s="278"/>
      <c r="CF252" s="268"/>
      <c r="CI252" s="158">
        <v>0</v>
      </c>
      <c r="CJ252" s="343">
        <v>2353.0406966941709</v>
      </c>
      <c r="CK252" s="343">
        <v>2918.4622429538686</v>
      </c>
      <c r="CL252" s="343">
        <v>2688.1355608456906</v>
      </c>
      <c r="CM252" s="487">
        <v>2731.066931282262</v>
      </c>
      <c r="CN252" s="487">
        <v>3108.1232950088133</v>
      </c>
      <c r="CO252" s="495">
        <v>-825.29600000000005</v>
      </c>
      <c r="CP252" s="299"/>
      <c r="CQ252" s="489">
        <v>20.6326</v>
      </c>
      <c r="CR252" s="489">
        <v>0</v>
      </c>
    </row>
    <row r="253" spans="1:96" x14ac:dyDescent="0.2">
      <c r="A253" s="154">
        <v>832</v>
      </c>
      <c r="B253" s="156" t="s">
        <v>276</v>
      </c>
      <c r="C253" s="337">
        <v>3825</v>
      </c>
      <c r="D253" s="276">
        <v>20.5</v>
      </c>
      <c r="E253" s="185"/>
      <c r="G253" s="278">
        <v>6940.5668299999998</v>
      </c>
      <c r="H253" s="278">
        <v>37503.192029999998</v>
      </c>
      <c r="I253" s="278"/>
      <c r="J253" s="278">
        <v>10932.146460000002</v>
      </c>
      <c r="K253" s="278">
        <v>2284.48308</v>
      </c>
      <c r="L253" s="278">
        <v>936.66690000000006</v>
      </c>
      <c r="M253" s="278">
        <v>14153.29644</v>
      </c>
      <c r="N253" s="278">
        <v>20453.204000000002</v>
      </c>
      <c r="O253" s="278">
        <v>11.22331</v>
      </c>
      <c r="P253" s="278">
        <v>32.595080000000003</v>
      </c>
      <c r="Q253" s="278">
        <v>122.64119000000001</v>
      </c>
      <c r="R253" s="278">
        <v>59.934370000000001</v>
      </c>
      <c r="S253" s="278">
        <v>4130.3826800000006</v>
      </c>
      <c r="U253" s="278">
        <v>1826.5607600000001</v>
      </c>
      <c r="V253" s="278">
        <v>0</v>
      </c>
      <c r="W253" s="278">
        <v>0</v>
      </c>
      <c r="X253" s="278">
        <v>2303.8219199999999</v>
      </c>
      <c r="Y253" s="278">
        <v>-23.131869999999999</v>
      </c>
      <c r="Z253" s="278">
        <v>0</v>
      </c>
      <c r="AA253" s="278">
        <v>0</v>
      </c>
      <c r="AB253" s="278">
        <v>2326.95379</v>
      </c>
      <c r="AD253" s="278">
        <v>16064.131440000001</v>
      </c>
      <c r="AE253" s="157">
        <v>3919.2372500000001</v>
      </c>
      <c r="AF253" s="184">
        <v>-211.14543</v>
      </c>
      <c r="AG253" s="278">
        <v>-1699.94371</v>
      </c>
      <c r="AH253" s="278">
        <v>74.905190000000005</v>
      </c>
      <c r="AI253" s="184">
        <v>219.19860999999997</v>
      </c>
      <c r="AJ253" s="278">
        <v>4560.0432699999992</v>
      </c>
      <c r="AL253" s="278">
        <v>5991.7070000000003</v>
      </c>
      <c r="AM253" s="184">
        <v>-46.315620000000003</v>
      </c>
      <c r="AN253" s="278">
        <v>-816.274</v>
      </c>
      <c r="AO253" s="355">
        <v>3731</v>
      </c>
      <c r="AP253" s="344">
        <v>7.86</v>
      </c>
      <c r="AQ253" s="462"/>
      <c r="AS253" s="469">
        <v>5304.7974100000001</v>
      </c>
      <c r="AT253" s="278">
        <v>18341.47409</v>
      </c>
      <c r="AU253" s="464"/>
      <c r="AV253" s="346">
        <v>4808.0422699999999</v>
      </c>
      <c r="AW253" s="346">
        <v>1281.88428</v>
      </c>
      <c r="AX253" s="346">
        <v>1018.29185</v>
      </c>
      <c r="AY253" s="346">
        <v>7108.2184000000007</v>
      </c>
      <c r="AZ253" s="346">
        <v>8657.2029999999995</v>
      </c>
      <c r="BA253" s="278">
        <v>9.32226</v>
      </c>
      <c r="BB253" s="345">
        <v>26.022509999999997</v>
      </c>
      <c r="BC253" s="278">
        <v>200.19615999999999</v>
      </c>
      <c r="BD253" s="278">
        <v>63.69791</v>
      </c>
      <c r="BE253" s="346">
        <v>2924.6803</v>
      </c>
      <c r="BG253" s="343">
        <v>2374.1871599999999</v>
      </c>
      <c r="BH253" s="346">
        <v>0</v>
      </c>
      <c r="BI253" s="346">
        <v>0</v>
      </c>
      <c r="BJ253" s="346">
        <v>550.49314000000004</v>
      </c>
      <c r="BK253" s="346">
        <v>-10.632719999999999</v>
      </c>
      <c r="BL253" s="343">
        <v>0</v>
      </c>
      <c r="BM253" s="343">
        <v>0</v>
      </c>
      <c r="BN253" s="346">
        <v>561.12585999999999</v>
      </c>
      <c r="BP253" s="346">
        <v>16625.257299999997</v>
      </c>
      <c r="BQ253" s="318">
        <v>2890.8104500000004</v>
      </c>
      <c r="BR253" s="278">
        <v>-33.86985</v>
      </c>
      <c r="BS253" s="475">
        <v>-4005.5120200000001</v>
      </c>
      <c r="BT253" s="278">
        <v>28.052769999999999</v>
      </c>
      <c r="BU253" s="278">
        <v>82.436390000000003</v>
      </c>
      <c r="BV253" s="345">
        <v>1144.4601399999999</v>
      </c>
      <c r="BX253" s="278">
        <v>5175.433</v>
      </c>
      <c r="BY253" s="483">
        <v>46.988379999999999</v>
      </c>
      <c r="BZ253" s="483">
        <v>-816.274</v>
      </c>
      <c r="CA253" s="260"/>
      <c r="CB253" s="347">
        <v>7.9</v>
      </c>
      <c r="CC253" s="486">
        <f t="shared" si="3"/>
        <v>7.9</v>
      </c>
      <c r="CD253" s="287"/>
      <c r="CE253" s="278"/>
      <c r="CF253" s="268"/>
      <c r="CI253" s="158">
        <v>0</v>
      </c>
      <c r="CJ253" s="343">
        <v>8526.0784131912278</v>
      </c>
      <c r="CK253" s="343">
        <v>9164.7085999685241</v>
      </c>
      <c r="CL253" s="343">
        <v>8705.0007850492748</v>
      </c>
      <c r="CM253" s="487">
        <v>8501.9948297436385</v>
      </c>
      <c r="CN253" s="487">
        <v>8888.5277944518803</v>
      </c>
      <c r="CO253" s="495">
        <v>-243.47399999999999</v>
      </c>
      <c r="CP253" s="299"/>
      <c r="CQ253" s="489">
        <v>45.17239</v>
      </c>
      <c r="CR253" s="489">
        <v>76.13758</v>
      </c>
    </row>
    <row r="254" spans="1:96" x14ac:dyDescent="0.2">
      <c r="A254" s="154">
        <v>833</v>
      </c>
      <c r="B254" s="156" t="s">
        <v>277</v>
      </c>
      <c r="C254" s="337">
        <v>1691</v>
      </c>
      <c r="D254" s="276">
        <v>19.5</v>
      </c>
      <c r="E254" s="185"/>
      <c r="G254" s="278">
        <v>1632.9717499999999</v>
      </c>
      <c r="H254" s="278">
        <v>12802.95579</v>
      </c>
      <c r="I254" s="278"/>
      <c r="J254" s="278">
        <v>5387.7337900000002</v>
      </c>
      <c r="K254" s="278">
        <v>369.01229999999998</v>
      </c>
      <c r="L254" s="278">
        <v>1284.18498</v>
      </c>
      <c r="M254" s="278">
        <v>7040.9310700000005</v>
      </c>
      <c r="N254" s="278">
        <v>5050.80591</v>
      </c>
      <c r="O254" s="278">
        <v>16.443999999999999</v>
      </c>
      <c r="P254" s="278">
        <v>97.615089999999995</v>
      </c>
      <c r="Q254" s="278">
        <v>34.00508</v>
      </c>
      <c r="R254" s="278">
        <v>143.99732999999998</v>
      </c>
      <c r="S254" s="278">
        <v>730.58960000000002</v>
      </c>
      <c r="U254" s="278">
        <v>608.47686999999996</v>
      </c>
      <c r="V254" s="278">
        <v>0</v>
      </c>
      <c r="W254" s="278">
        <v>0</v>
      </c>
      <c r="X254" s="278">
        <v>122.11273</v>
      </c>
      <c r="Y254" s="278">
        <v>0</v>
      </c>
      <c r="Z254" s="278">
        <v>0</v>
      </c>
      <c r="AA254" s="278">
        <v>0</v>
      </c>
      <c r="AB254" s="278">
        <v>122.11273</v>
      </c>
      <c r="AD254" s="278">
        <v>8843.5941900000016</v>
      </c>
      <c r="AE254" s="157">
        <v>731.64659999999992</v>
      </c>
      <c r="AF254" s="184">
        <v>1.0569999999999999</v>
      </c>
      <c r="AG254" s="278">
        <v>-486.52621999999997</v>
      </c>
      <c r="AH254" s="278">
        <v>20.912990000000001</v>
      </c>
      <c r="AI254" s="184">
        <v>2.5649999999999999</v>
      </c>
      <c r="AJ254" s="278">
        <v>6696.5658899999999</v>
      </c>
      <c r="AL254" s="278">
        <v>7037.893</v>
      </c>
      <c r="AM254" s="184">
        <v>33.2196</v>
      </c>
      <c r="AN254" s="278">
        <v>-291.73399999999998</v>
      </c>
      <c r="AO254" s="355">
        <v>1705</v>
      </c>
      <c r="AP254" s="344">
        <v>6.8600000000000012</v>
      </c>
      <c r="AQ254" s="462"/>
      <c r="AS254" s="469">
        <v>1248.07465</v>
      </c>
      <c r="AT254" s="278">
        <v>6090.2240700000002</v>
      </c>
      <c r="AU254" s="464"/>
      <c r="AV254" s="346">
        <v>2442.6396299999997</v>
      </c>
      <c r="AW254" s="346">
        <v>249.56904999999998</v>
      </c>
      <c r="AX254" s="346">
        <v>1321.0601200000001</v>
      </c>
      <c r="AY254" s="346">
        <v>4013.2687999999998</v>
      </c>
      <c r="AZ254" s="346">
        <v>1688.5419999999999</v>
      </c>
      <c r="BA254" s="278">
        <v>16.111799999999999</v>
      </c>
      <c r="BB254" s="345">
        <v>239.05549999999999</v>
      </c>
      <c r="BC254" s="278">
        <v>89.856440000000006</v>
      </c>
      <c r="BD254" s="278">
        <v>1.5053399999999999</v>
      </c>
      <c r="BE254" s="346">
        <v>725.06878000000006</v>
      </c>
      <c r="BG254" s="343">
        <v>584.52393999999993</v>
      </c>
      <c r="BH254" s="343">
        <v>0</v>
      </c>
      <c r="BI254" s="343">
        <v>0</v>
      </c>
      <c r="BJ254" s="346">
        <v>140.54483999999999</v>
      </c>
      <c r="BK254" s="346">
        <v>0</v>
      </c>
      <c r="BL254" s="343">
        <v>0</v>
      </c>
      <c r="BM254" s="343">
        <v>0</v>
      </c>
      <c r="BN254" s="346">
        <v>140.54483999999999</v>
      </c>
      <c r="BP254" s="346">
        <v>8698.9407900000006</v>
      </c>
      <c r="BQ254" s="318">
        <v>725.06878000000006</v>
      </c>
      <c r="BR254" s="278">
        <v>0</v>
      </c>
      <c r="BS254" s="475">
        <v>-474.54121000000004</v>
      </c>
      <c r="BT254" s="278">
        <v>0</v>
      </c>
      <c r="BU254" s="278">
        <v>0</v>
      </c>
      <c r="BV254" s="345">
        <v>6471.2552100000003</v>
      </c>
      <c r="BX254" s="278">
        <v>6746.1590000000006</v>
      </c>
      <c r="BY254" s="483">
        <v>33.5518</v>
      </c>
      <c r="BZ254" s="483">
        <v>-291.73399999999998</v>
      </c>
      <c r="CA254" s="260"/>
      <c r="CB254" s="347">
        <v>6.9</v>
      </c>
      <c r="CC254" s="486">
        <f t="shared" si="3"/>
        <v>6.9</v>
      </c>
      <c r="CD254" s="287"/>
      <c r="CE254" s="278"/>
      <c r="CF254" s="268"/>
      <c r="CI254" s="158">
        <v>0</v>
      </c>
      <c r="CJ254" s="343">
        <v>1633.6833491176542</v>
      </c>
      <c r="CK254" s="343">
        <v>1851.7068953012931</v>
      </c>
      <c r="CL254" s="343">
        <v>1804.8471177689667</v>
      </c>
      <c r="CM254" s="487">
        <v>1785.3641231773472</v>
      </c>
      <c r="CN254" s="487">
        <v>1937.7232013167732</v>
      </c>
      <c r="CO254" s="495">
        <v>-270.39699999999999</v>
      </c>
      <c r="CP254" s="299"/>
      <c r="CQ254" s="489">
        <v>0</v>
      </c>
      <c r="CR254" s="489">
        <v>0</v>
      </c>
    </row>
    <row r="255" spans="1:96" x14ac:dyDescent="0.2">
      <c r="A255" s="154">
        <v>834</v>
      </c>
      <c r="B255" s="156" t="s">
        <v>278</v>
      </c>
      <c r="C255" s="337">
        <v>5879</v>
      </c>
      <c r="D255" s="276">
        <v>21.250000000000004</v>
      </c>
      <c r="E255" s="185"/>
      <c r="G255" s="278">
        <v>4715.05602</v>
      </c>
      <c r="H255" s="278">
        <v>40264.115010000001</v>
      </c>
      <c r="I255" s="278"/>
      <c r="J255" s="278">
        <v>22441.623030000002</v>
      </c>
      <c r="K255" s="278">
        <v>2164.3352799999998</v>
      </c>
      <c r="L255" s="278">
        <v>1898.77271</v>
      </c>
      <c r="M255" s="278">
        <v>26504.731019999999</v>
      </c>
      <c r="N255" s="278">
        <v>14226.79</v>
      </c>
      <c r="O255" s="278">
        <v>1.9899500000000001</v>
      </c>
      <c r="P255" s="278">
        <v>33.066739999999996</v>
      </c>
      <c r="Q255" s="278">
        <v>59.274039999999999</v>
      </c>
      <c r="R255" s="278">
        <v>0.18472999999999998</v>
      </c>
      <c r="S255" s="278">
        <v>5216.0229500000005</v>
      </c>
      <c r="U255" s="278">
        <v>2464.1737400000002</v>
      </c>
      <c r="V255" s="278">
        <v>0</v>
      </c>
      <c r="W255" s="278">
        <v>0</v>
      </c>
      <c r="X255" s="278">
        <v>2751.8492099999999</v>
      </c>
      <c r="Y255" s="278">
        <v>-83.196830000000006</v>
      </c>
      <c r="Z255" s="278">
        <v>0</v>
      </c>
      <c r="AA255" s="278">
        <v>0</v>
      </c>
      <c r="AB255" s="278">
        <v>2835.0460400000002</v>
      </c>
      <c r="AD255" s="278">
        <v>9867.6664699999983</v>
      </c>
      <c r="AE255" s="157">
        <v>5167.97649</v>
      </c>
      <c r="AF255" s="184">
        <v>-48.046459999999996</v>
      </c>
      <c r="AG255" s="278">
        <v>-3347.89581</v>
      </c>
      <c r="AH255" s="278">
        <v>219.72067000000001</v>
      </c>
      <c r="AI255" s="184">
        <v>76.932259999999999</v>
      </c>
      <c r="AJ255" s="278">
        <v>1422.0922800000001</v>
      </c>
      <c r="AL255" s="278">
        <v>4682.0959999999995</v>
      </c>
      <c r="AM255" s="184">
        <v>0</v>
      </c>
      <c r="AN255" s="278">
        <v>-2659.8980000000001</v>
      </c>
      <c r="AO255" s="355">
        <v>5844</v>
      </c>
      <c r="AP255" s="344">
        <v>8.61</v>
      </c>
      <c r="AQ255" s="462"/>
      <c r="AS255" s="469">
        <v>4238.2288899999994</v>
      </c>
      <c r="AT255" s="278">
        <v>18986.65065</v>
      </c>
      <c r="AU255" s="464"/>
      <c r="AV255" s="346">
        <v>11209.88631</v>
      </c>
      <c r="AW255" s="346">
        <v>1236.7964399999998</v>
      </c>
      <c r="AX255" s="346">
        <v>1983.9493500000001</v>
      </c>
      <c r="AY255" s="346">
        <v>14430.632099999999</v>
      </c>
      <c r="AZ255" s="346">
        <v>4172.9570000000003</v>
      </c>
      <c r="BA255" s="278">
        <v>1.51369</v>
      </c>
      <c r="BB255" s="345">
        <v>63.500680000000003</v>
      </c>
      <c r="BC255" s="278">
        <v>63.285230000000006</v>
      </c>
      <c r="BD255" s="278">
        <v>3.25265</v>
      </c>
      <c r="BE255" s="346">
        <v>3856.8602099999998</v>
      </c>
      <c r="BG255" s="343">
        <v>2503.0287000000003</v>
      </c>
      <c r="BH255" s="343">
        <v>0</v>
      </c>
      <c r="BI255" s="343">
        <v>0</v>
      </c>
      <c r="BJ255" s="346">
        <v>1353.83151</v>
      </c>
      <c r="BK255" s="346">
        <v>317.20253000000002</v>
      </c>
      <c r="BL255" s="346">
        <v>-400</v>
      </c>
      <c r="BM255" s="343">
        <v>0</v>
      </c>
      <c r="BN255" s="346">
        <v>1436.62898</v>
      </c>
      <c r="BP255" s="346">
        <v>11304.29545</v>
      </c>
      <c r="BQ255" s="318">
        <v>3823.2890600000001</v>
      </c>
      <c r="BR255" s="278">
        <v>-33.571150000000003</v>
      </c>
      <c r="BS255" s="475">
        <v>-6591.6947699999992</v>
      </c>
      <c r="BT255" s="278">
        <v>584.25045</v>
      </c>
      <c r="BU255" s="278">
        <v>47.165260000000004</v>
      </c>
      <c r="BV255" s="345">
        <v>1496.6934099999999</v>
      </c>
      <c r="BX255" s="278">
        <v>6072.1980000000003</v>
      </c>
      <c r="BY255" s="483">
        <v>0</v>
      </c>
      <c r="BZ255" s="483">
        <v>1390.1020000000001</v>
      </c>
      <c r="CA255" s="260"/>
      <c r="CB255" s="347">
        <v>8.6</v>
      </c>
      <c r="CC255" s="486">
        <f t="shared" si="3"/>
        <v>8.6</v>
      </c>
      <c r="CD255" s="287"/>
      <c r="CE255" s="278"/>
      <c r="CF255" s="268"/>
      <c r="CI255" s="158">
        <v>0</v>
      </c>
      <c r="CJ255" s="343">
        <v>4431.0855056021519</v>
      </c>
      <c r="CK255" s="343">
        <v>4499.0220430989048</v>
      </c>
      <c r="CL255" s="343">
        <v>4531.2865379097975</v>
      </c>
      <c r="CM255" s="487">
        <v>4013.2267012688299</v>
      </c>
      <c r="CN255" s="487">
        <v>4497.926928034678</v>
      </c>
      <c r="CO255" s="495">
        <v>-1530.79</v>
      </c>
      <c r="CP255" s="299"/>
      <c r="CQ255" s="489">
        <v>5.5484</v>
      </c>
      <c r="CR255" s="489">
        <v>3.6472800000000003</v>
      </c>
    </row>
    <row r="256" spans="1:96" x14ac:dyDescent="0.2">
      <c r="A256" s="154">
        <v>837</v>
      </c>
      <c r="B256" s="156" t="s">
        <v>279</v>
      </c>
      <c r="C256" s="337">
        <v>249009</v>
      </c>
      <c r="D256" s="276">
        <v>20.25</v>
      </c>
      <c r="E256" s="185"/>
      <c r="G256" s="278">
        <v>516270.89989999996</v>
      </c>
      <c r="H256" s="278">
        <v>1963946.8088199999</v>
      </c>
      <c r="I256" s="278"/>
      <c r="J256" s="278">
        <v>953897.12770000007</v>
      </c>
      <c r="K256" s="278">
        <v>138774.25246000002</v>
      </c>
      <c r="L256" s="278">
        <v>99620.202839999998</v>
      </c>
      <c r="M256" s="278">
        <v>1192291.5830000001</v>
      </c>
      <c r="N256" s="278">
        <v>373863.49699999997</v>
      </c>
      <c r="O256" s="278">
        <v>6899.3009699999993</v>
      </c>
      <c r="P256" s="278">
        <v>15757.972519999999</v>
      </c>
      <c r="Q256" s="278">
        <v>28773.754430000001</v>
      </c>
      <c r="R256" s="278">
        <v>1271.97974</v>
      </c>
      <c r="S256" s="278">
        <v>142270.33656999998</v>
      </c>
      <c r="U256" s="278">
        <v>124444.81436</v>
      </c>
      <c r="V256" s="278">
        <v>0</v>
      </c>
      <c r="W256" s="278">
        <v>0</v>
      </c>
      <c r="X256" s="278">
        <v>17825.522209999999</v>
      </c>
      <c r="Y256" s="278">
        <v>-1708.3699199999999</v>
      </c>
      <c r="Z256" s="278">
        <v>0</v>
      </c>
      <c r="AA256" s="278">
        <v>-561.39685999999995</v>
      </c>
      <c r="AB256" s="278">
        <v>20095.288989999997</v>
      </c>
      <c r="AD256" s="278">
        <v>606293.74320999999</v>
      </c>
      <c r="AE256" s="157">
        <v>127745.80145</v>
      </c>
      <c r="AF256" s="184">
        <v>-14524.535119999999</v>
      </c>
      <c r="AG256" s="278">
        <v>-238445.86436000001</v>
      </c>
      <c r="AH256" s="278">
        <v>5921.7509400000008</v>
      </c>
      <c r="AI256" s="184">
        <v>16764.144400000001</v>
      </c>
      <c r="AJ256" s="278">
        <v>241432.31131999998</v>
      </c>
      <c r="AL256" s="278">
        <v>925885.41750999994</v>
      </c>
      <c r="AM256" s="184">
        <v>-1543.7422799999999</v>
      </c>
      <c r="AN256" s="278">
        <v>34877.122090000004</v>
      </c>
      <c r="AO256" s="355">
        <v>255050</v>
      </c>
      <c r="AP256" s="344">
        <v>7.61</v>
      </c>
      <c r="AQ256" s="462"/>
      <c r="AS256" s="469">
        <v>385780.83058999997</v>
      </c>
      <c r="AT256" s="278">
        <v>968323.63614999992</v>
      </c>
      <c r="AU256" s="464"/>
      <c r="AV256" s="346">
        <v>477772.95120999997</v>
      </c>
      <c r="AW256" s="346">
        <v>97982.395640000002</v>
      </c>
      <c r="AX256" s="346">
        <v>105302.04715000001</v>
      </c>
      <c r="AY256" s="346">
        <v>681057.39399999997</v>
      </c>
      <c r="AZ256" s="346">
        <v>58343.614000000001</v>
      </c>
      <c r="BA256" s="278">
        <v>9247.3124200000002</v>
      </c>
      <c r="BB256" s="345">
        <v>21439.796280000002</v>
      </c>
      <c r="BC256" s="278">
        <v>40707.187109999999</v>
      </c>
      <c r="BD256" s="278">
        <v>672.58857</v>
      </c>
      <c r="BE256" s="346">
        <v>187998.04861000003</v>
      </c>
      <c r="BG256" s="343">
        <v>132683.38707</v>
      </c>
      <c r="BH256" s="343">
        <v>0</v>
      </c>
      <c r="BI256" s="343">
        <v>0</v>
      </c>
      <c r="BJ256" s="346">
        <v>55314.661540000001</v>
      </c>
      <c r="BK256" s="346">
        <v>-1708.17365</v>
      </c>
      <c r="BL256" s="346">
        <v>0</v>
      </c>
      <c r="BM256" s="343">
        <v>-1096.3970200000001</v>
      </c>
      <c r="BN256" s="346">
        <v>58119.232210000002</v>
      </c>
      <c r="BP256" s="346">
        <v>664412.97542000003</v>
      </c>
      <c r="BQ256" s="318">
        <v>167239.41797000001</v>
      </c>
      <c r="BR256" s="278">
        <v>-20758.630639999999</v>
      </c>
      <c r="BS256" s="475">
        <v>-232389.14044999998</v>
      </c>
      <c r="BT256" s="278">
        <v>3169.9192499999999</v>
      </c>
      <c r="BU256" s="278">
        <v>33582.901740000001</v>
      </c>
      <c r="BV256" s="345">
        <v>91878.169120000006</v>
      </c>
      <c r="BX256" s="278">
        <v>853716.04979000008</v>
      </c>
      <c r="BY256" s="483">
        <v>8800.047410000001</v>
      </c>
      <c r="BZ256" s="483">
        <v>-72169.367719999995</v>
      </c>
      <c r="CA256" s="260"/>
      <c r="CB256" s="347">
        <v>7.6</v>
      </c>
      <c r="CC256" s="486">
        <f t="shared" si="3"/>
        <v>7.6</v>
      </c>
      <c r="CD256" s="287"/>
      <c r="CE256" s="278"/>
      <c r="CF256" s="268"/>
      <c r="CI256" s="158">
        <v>0</v>
      </c>
      <c r="CJ256" s="343">
        <v>82189.040888938936</v>
      </c>
      <c r="CK256" s="343">
        <v>118230.97445832836</v>
      </c>
      <c r="CL256" s="343">
        <v>132779.59767715132</v>
      </c>
      <c r="CM256" s="487">
        <v>137898.97491714227</v>
      </c>
      <c r="CN256" s="487">
        <v>145728.50230283407</v>
      </c>
      <c r="CO256" s="495">
        <v>84253.72</v>
      </c>
      <c r="CP256" s="299"/>
      <c r="CQ256" s="489">
        <v>5148.0623499999992</v>
      </c>
      <c r="CR256" s="489">
        <v>3297.7314900000001</v>
      </c>
    </row>
    <row r="257" spans="1:96" x14ac:dyDescent="0.2">
      <c r="A257" s="154">
        <v>844</v>
      </c>
      <c r="B257" s="156" t="s">
        <v>280</v>
      </c>
      <c r="C257" s="337">
        <v>1441</v>
      </c>
      <c r="D257" s="276">
        <v>21.5</v>
      </c>
      <c r="E257" s="185"/>
      <c r="G257" s="278">
        <v>3007.8762700000002</v>
      </c>
      <c r="H257" s="278">
        <v>15081.27491</v>
      </c>
      <c r="I257" s="278"/>
      <c r="J257" s="278">
        <v>4106.8858199999995</v>
      </c>
      <c r="K257" s="278">
        <v>736.86867000000007</v>
      </c>
      <c r="L257" s="278">
        <v>587.87807999999995</v>
      </c>
      <c r="M257" s="278">
        <v>5431.6325700000007</v>
      </c>
      <c r="N257" s="278">
        <v>6886.0320000000002</v>
      </c>
      <c r="O257" s="278">
        <v>5.98712</v>
      </c>
      <c r="P257" s="278">
        <v>40.753949999999996</v>
      </c>
      <c r="Q257" s="278">
        <v>533.27643</v>
      </c>
      <c r="R257" s="278">
        <v>397.66654</v>
      </c>
      <c r="S257" s="278">
        <v>345.10899000000001</v>
      </c>
      <c r="U257" s="278">
        <v>330.86066</v>
      </c>
      <c r="V257" s="278">
        <v>0</v>
      </c>
      <c r="W257" s="278">
        <v>0</v>
      </c>
      <c r="X257" s="278">
        <v>14.248329999999999</v>
      </c>
      <c r="Y257" s="278">
        <v>-8.1368399999999994</v>
      </c>
      <c r="Z257" s="278">
        <v>0</v>
      </c>
      <c r="AA257" s="278">
        <v>0</v>
      </c>
      <c r="AB257" s="278">
        <v>22.385169999999999</v>
      </c>
      <c r="AD257" s="278">
        <v>656.19904000000008</v>
      </c>
      <c r="AE257" s="157">
        <v>311.53750000000002</v>
      </c>
      <c r="AF257" s="184">
        <v>-33.571489999999997</v>
      </c>
      <c r="AG257" s="278">
        <v>-208.95375000000001</v>
      </c>
      <c r="AH257" s="278">
        <v>0</v>
      </c>
      <c r="AI257" s="184">
        <v>284.58615000000003</v>
      </c>
      <c r="AJ257" s="278">
        <v>3411.3299800000004</v>
      </c>
      <c r="AL257" s="278">
        <v>4845.0050000000001</v>
      </c>
      <c r="AM257" s="184">
        <v>30</v>
      </c>
      <c r="AN257" s="278">
        <v>-416.666</v>
      </c>
      <c r="AO257" s="355">
        <v>1412</v>
      </c>
      <c r="AP257" s="344">
        <v>8.86</v>
      </c>
      <c r="AQ257" s="462"/>
      <c r="AS257" s="469">
        <v>2587.4205999999999</v>
      </c>
      <c r="AT257" s="278">
        <v>6336.8503499999997</v>
      </c>
      <c r="AU257" s="464"/>
      <c r="AV257" s="346">
        <v>1997.44795</v>
      </c>
      <c r="AW257" s="346">
        <v>411.10220000000004</v>
      </c>
      <c r="AX257" s="346">
        <v>604.48023999999998</v>
      </c>
      <c r="AY257" s="346">
        <v>3013.0303900000004</v>
      </c>
      <c r="AZ257" s="346">
        <v>530.29399999999998</v>
      </c>
      <c r="BA257" s="278">
        <v>10.17004</v>
      </c>
      <c r="BB257" s="345">
        <v>107.31984</v>
      </c>
      <c r="BC257" s="278">
        <v>535.32871</v>
      </c>
      <c r="BD257" s="278">
        <v>4.8285799999999997</v>
      </c>
      <c r="BE257" s="346">
        <v>227.24497</v>
      </c>
      <c r="BG257" s="343">
        <v>297.74678999999998</v>
      </c>
      <c r="BH257" s="346">
        <v>0</v>
      </c>
      <c r="BI257" s="343">
        <v>0</v>
      </c>
      <c r="BJ257" s="346">
        <v>-70.501820000000009</v>
      </c>
      <c r="BK257" s="346">
        <v>-8.1368399999999994</v>
      </c>
      <c r="BL257" s="346">
        <v>0</v>
      </c>
      <c r="BM257" s="346">
        <v>0</v>
      </c>
      <c r="BN257" s="346">
        <v>-62.364980000000003</v>
      </c>
      <c r="BP257" s="346">
        <v>462.89148999999992</v>
      </c>
      <c r="BQ257" s="318">
        <v>426.44496999999996</v>
      </c>
      <c r="BR257" s="278">
        <v>199.2</v>
      </c>
      <c r="BS257" s="475">
        <v>-207.37461999999999</v>
      </c>
      <c r="BT257" s="278">
        <v>0</v>
      </c>
      <c r="BU257" s="278">
        <v>0</v>
      </c>
      <c r="BV257" s="345">
        <v>2515.7205199999999</v>
      </c>
      <c r="BX257" s="278">
        <v>4301.7042899999997</v>
      </c>
      <c r="BY257" s="483">
        <v>30</v>
      </c>
      <c r="BZ257" s="483">
        <v>-543.30070999999998</v>
      </c>
      <c r="CA257" s="260"/>
      <c r="CB257" s="347">
        <v>9.9</v>
      </c>
      <c r="CC257" s="486">
        <f t="shared" si="3"/>
        <v>9.9</v>
      </c>
      <c r="CD257" s="287"/>
      <c r="CE257" s="278"/>
      <c r="CF257" s="268"/>
      <c r="CI257" s="158">
        <v>0</v>
      </c>
      <c r="CJ257" s="343">
        <v>687.24521617739674</v>
      </c>
      <c r="CK257" s="343">
        <v>835.54669512417263</v>
      </c>
      <c r="CL257" s="343">
        <v>998.55572817099255</v>
      </c>
      <c r="CM257" s="487">
        <v>1129.6935441959961</v>
      </c>
      <c r="CN257" s="487">
        <v>1323.3350189828789</v>
      </c>
      <c r="CO257" s="495">
        <v>-357.78199999999998</v>
      </c>
      <c r="CP257" s="299"/>
      <c r="CQ257" s="489">
        <v>0</v>
      </c>
      <c r="CR257" s="489">
        <v>0</v>
      </c>
    </row>
    <row r="258" spans="1:96" x14ac:dyDescent="0.2">
      <c r="A258" s="154">
        <v>845</v>
      </c>
      <c r="B258" s="156" t="s">
        <v>281</v>
      </c>
      <c r="C258" s="337">
        <v>2863</v>
      </c>
      <c r="D258" s="276">
        <v>20</v>
      </c>
      <c r="E258" s="185"/>
      <c r="G258" s="278">
        <v>3800.4071600000002</v>
      </c>
      <c r="H258" s="278">
        <v>27274.065460000002</v>
      </c>
      <c r="I258" s="278"/>
      <c r="J258" s="278">
        <v>8642.4290099999998</v>
      </c>
      <c r="K258" s="278">
        <v>910.64873999999998</v>
      </c>
      <c r="L258" s="278">
        <v>2901.5436600000003</v>
      </c>
      <c r="M258" s="278">
        <v>12454.62141</v>
      </c>
      <c r="N258" s="278">
        <v>11939.771000000001</v>
      </c>
      <c r="O258" s="278">
        <v>53.319949999999999</v>
      </c>
      <c r="P258" s="278">
        <v>33.059660000000001</v>
      </c>
      <c r="Q258" s="278">
        <v>1941.98578</v>
      </c>
      <c r="R258" s="278">
        <v>76.553210000000007</v>
      </c>
      <c r="S258" s="278">
        <v>2806.42697</v>
      </c>
      <c r="U258" s="278">
        <v>469.30273</v>
      </c>
      <c r="V258" s="278">
        <v>0</v>
      </c>
      <c r="W258" s="278">
        <v>0</v>
      </c>
      <c r="X258" s="278">
        <v>2337.1242400000001</v>
      </c>
      <c r="Y258" s="278">
        <v>-184.12648000000002</v>
      </c>
      <c r="Z258" s="278">
        <v>0</v>
      </c>
      <c r="AA258" s="278">
        <v>0</v>
      </c>
      <c r="AB258" s="278">
        <v>2521.25072</v>
      </c>
      <c r="AD258" s="278">
        <v>19260.025980000002</v>
      </c>
      <c r="AE258" s="157">
        <v>2756.42697</v>
      </c>
      <c r="AF258" s="184">
        <v>-50</v>
      </c>
      <c r="AG258" s="278">
        <v>-1845.55702</v>
      </c>
      <c r="AH258" s="278">
        <v>60.625</v>
      </c>
      <c r="AI258" s="184">
        <v>74.635000000000005</v>
      </c>
      <c r="AJ258" s="278">
        <v>10882.938300000002</v>
      </c>
      <c r="AL258" s="278">
        <v>2821.9162199999996</v>
      </c>
      <c r="AM258" s="184">
        <v>-34.210459999999998</v>
      </c>
      <c r="AN258" s="278">
        <v>-29.895520000000001</v>
      </c>
      <c r="AO258" s="355">
        <v>2831</v>
      </c>
      <c r="AP258" s="344">
        <v>7.3599999999999994</v>
      </c>
      <c r="AQ258" s="462"/>
      <c r="AS258" s="469">
        <v>3394.0623500000002</v>
      </c>
      <c r="AT258" s="278">
        <v>12836.01822</v>
      </c>
      <c r="AU258" s="464"/>
      <c r="AV258" s="346">
        <v>4136.9137799999999</v>
      </c>
      <c r="AW258" s="346">
        <v>696.8293000000001</v>
      </c>
      <c r="AX258" s="346">
        <v>2908.70757</v>
      </c>
      <c r="AY258" s="346">
        <v>7742.4506500000007</v>
      </c>
      <c r="AZ258" s="346">
        <v>4044.857</v>
      </c>
      <c r="BA258" s="278">
        <v>169.35512</v>
      </c>
      <c r="BB258" s="345">
        <v>79.808059999999998</v>
      </c>
      <c r="BC258" s="278">
        <v>687.06282999999996</v>
      </c>
      <c r="BD258" s="278">
        <v>120.42999</v>
      </c>
      <c r="BE258" s="346">
        <v>3001.5316800000001</v>
      </c>
      <c r="BG258" s="343">
        <v>1072.5616499999999</v>
      </c>
      <c r="BH258" s="346">
        <v>0</v>
      </c>
      <c r="BI258" s="343">
        <v>0</v>
      </c>
      <c r="BJ258" s="346">
        <v>1928.97003</v>
      </c>
      <c r="BK258" s="346">
        <v>-163.34110999999999</v>
      </c>
      <c r="BL258" s="346">
        <v>2040</v>
      </c>
      <c r="BM258" s="343">
        <v>0</v>
      </c>
      <c r="BN258" s="346">
        <v>52.311140000000002</v>
      </c>
      <c r="BP258" s="346">
        <v>19312.337120000004</v>
      </c>
      <c r="BQ258" s="318">
        <v>3001.5316800000001</v>
      </c>
      <c r="BR258" s="278">
        <v>0</v>
      </c>
      <c r="BS258" s="475">
        <v>-1466.5605800000001</v>
      </c>
      <c r="BT258" s="278">
        <v>0</v>
      </c>
      <c r="BU258" s="278">
        <v>20.802</v>
      </c>
      <c r="BV258" s="345">
        <v>10951.343640000001</v>
      </c>
      <c r="BX258" s="278">
        <v>1429.1223799999998</v>
      </c>
      <c r="BY258" s="483">
        <v>20</v>
      </c>
      <c r="BZ258" s="483">
        <v>-1392.79384</v>
      </c>
      <c r="CA258" s="260"/>
      <c r="CB258" s="347">
        <v>6.9</v>
      </c>
      <c r="CC258" s="486">
        <f t="shared" si="3"/>
        <v>6.9</v>
      </c>
      <c r="CD258" s="287"/>
      <c r="CE258" s="278"/>
      <c r="CF258" s="268"/>
      <c r="CI258" s="158">
        <v>0</v>
      </c>
      <c r="CJ258" s="343">
        <v>4239.2411625142049</v>
      </c>
      <c r="CK258" s="343">
        <v>4287.0288641621519</v>
      </c>
      <c r="CL258" s="343">
        <v>4342.8853369463268</v>
      </c>
      <c r="CM258" s="487">
        <v>4314.0122762629007</v>
      </c>
      <c r="CN258" s="487">
        <v>4796.5557785708825</v>
      </c>
      <c r="CO258" s="495">
        <v>5.9279999999999999</v>
      </c>
      <c r="CP258" s="299"/>
      <c r="CQ258" s="489">
        <v>0</v>
      </c>
      <c r="CR258" s="489">
        <v>0</v>
      </c>
    </row>
    <row r="259" spans="1:96" x14ac:dyDescent="0.2">
      <c r="A259" s="154">
        <v>846</v>
      </c>
      <c r="B259" s="156" t="s">
        <v>282</v>
      </c>
      <c r="C259" s="337">
        <v>4862</v>
      </c>
      <c r="D259" s="276">
        <v>22.5</v>
      </c>
      <c r="E259" s="185"/>
      <c r="G259" s="278">
        <v>4021.2681299999999</v>
      </c>
      <c r="H259" s="278">
        <v>39102.739600000001</v>
      </c>
      <c r="I259" s="278"/>
      <c r="J259" s="278">
        <v>15503.38947</v>
      </c>
      <c r="K259" s="278">
        <v>1430.8117199999999</v>
      </c>
      <c r="L259" s="278">
        <v>1353.0963000000002</v>
      </c>
      <c r="M259" s="278">
        <v>18287.297489999997</v>
      </c>
      <c r="N259" s="278">
        <v>20813.312000000002</v>
      </c>
      <c r="O259" s="278">
        <v>30.45946</v>
      </c>
      <c r="P259" s="278">
        <v>165.71489000000003</v>
      </c>
      <c r="Q259" s="278">
        <v>139.61291</v>
      </c>
      <c r="R259" s="278">
        <v>3.0735199999999998</v>
      </c>
      <c r="S259" s="278">
        <v>4020.4219800000001</v>
      </c>
      <c r="U259" s="278">
        <v>1126.81691</v>
      </c>
      <c r="V259" s="278">
        <v>0</v>
      </c>
      <c r="W259" s="278">
        <v>0</v>
      </c>
      <c r="X259" s="278">
        <v>2893.6050699999996</v>
      </c>
      <c r="Y259" s="278">
        <v>0</v>
      </c>
      <c r="Z259" s="278">
        <v>0</v>
      </c>
      <c r="AA259" s="278">
        <v>0</v>
      </c>
      <c r="AB259" s="278">
        <v>2893.6050699999996</v>
      </c>
      <c r="AD259" s="278">
        <v>3424.0698700000003</v>
      </c>
      <c r="AE259" s="157">
        <v>4008.7880499999997</v>
      </c>
      <c r="AF259" s="184">
        <v>-11.633929999999999</v>
      </c>
      <c r="AG259" s="278">
        <v>-675.23743999999999</v>
      </c>
      <c r="AH259" s="278">
        <v>6.1</v>
      </c>
      <c r="AI259" s="184">
        <v>16.751000000000001</v>
      </c>
      <c r="AJ259" s="278">
        <v>4536.9602500000001</v>
      </c>
      <c r="AL259" s="278">
        <v>13675.352840000001</v>
      </c>
      <c r="AM259" s="184">
        <v>526.83334000000002</v>
      </c>
      <c r="AN259" s="278">
        <v>-2977.10572</v>
      </c>
      <c r="AO259" s="355">
        <v>4758</v>
      </c>
      <c r="AP259" s="344">
        <v>9.86</v>
      </c>
      <c r="AQ259" s="462"/>
      <c r="AS259" s="469">
        <v>3550.2271700000001</v>
      </c>
      <c r="AT259" s="278">
        <v>15892.698060000001</v>
      </c>
      <c r="AU259" s="464"/>
      <c r="AV259" s="346">
        <v>8303.2570199999991</v>
      </c>
      <c r="AW259" s="346">
        <v>958.40814999999998</v>
      </c>
      <c r="AX259" s="346">
        <v>1712.8218100000001</v>
      </c>
      <c r="AY259" s="346">
        <v>10974.48698</v>
      </c>
      <c r="AZ259" s="346">
        <v>6967.3419999999996</v>
      </c>
      <c r="BA259" s="278">
        <v>101.26655000000001</v>
      </c>
      <c r="BB259" s="345">
        <v>210.38461999999998</v>
      </c>
      <c r="BC259" s="278">
        <v>50.904220000000002</v>
      </c>
      <c r="BD259" s="278">
        <v>4.5649100000000002</v>
      </c>
      <c r="BE259" s="346">
        <v>5536.5793300000005</v>
      </c>
      <c r="BG259" s="343">
        <v>1305.6763799999999</v>
      </c>
      <c r="BH259" s="343">
        <v>0</v>
      </c>
      <c r="BI259" s="343">
        <v>129.72552999999999</v>
      </c>
      <c r="BJ259" s="346">
        <v>4101.17742</v>
      </c>
      <c r="BK259" s="346">
        <v>0</v>
      </c>
      <c r="BL259" s="343">
        <v>0</v>
      </c>
      <c r="BM259" s="343">
        <v>0</v>
      </c>
      <c r="BN259" s="346">
        <v>4101.17742</v>
      </c>
      <c r="BP259" s="346">
        <v>7525.2472900000002</v>
      </c>
      <c r="BQ259" s="318">
        <v>5517.7414000000008</v>
      </c>
      <c r="BR259" s="278">
        <v>110.88760000000001</v>
      </c>
      <c r="BS259" s="475">
        <v>-813.54849999999999</v>
      </c>
      <c r="BT259" s="278">
        <v>83.837000000000003</v>
      </c>
      <c r="BU259" s="278">
        <v>1467.0158100000001</v>
      </c>
      <c r="BV259" s="345">
        <v>5435.3857600000001</v>
      </c>
      <c r="BX259" s="278">
        <v>11698.24712</v>
      </c>
      <c r="BY259" s="483">
        <v>-210.41667000000001</v>
      </c>
      <c r="BZ259" s="483">
        <v>-1977.10572</v>
      </c>
      <c r="CA259" s="260"/>
      <c r="CB259" s="347">
        <v>9.6999999999999993</v>
      </c>
      <c r="CC259" s="486">
        <f t="shared" si="3"/>
        <v>9.6999999999999993</v>
      </c>
      <c r="CD259" s="287"/>
      <c r="CE259" s="278"/>
      <c r="CF259" s="268"/>
      <c r="CG259" s="266"/>
      <c r="CI259" s="158">
        <v>0</v>
      </c>
      <c r="CJ259" s="343">
        <v>6009.9452482008392</v>
      </c>
      <c r="CK259" s="343">
        <v>6138.5308050663934</v>
      </c>
      <c r="CL259" s="343">
        <v>6334.3456004778081</v>
      </c>
      <c r="CM259" s="487">
        <v>6264.5141557381703</v>
      </c>
      <c r="CN259" s="487">
        <v>6997.9297218131142</v>
      </c>
      <c r="CO259" s="495">
        <v>-364.16199999999998</v>
      </c>
      <c r="CP259" s="299"/>
      <c r="CQ259" s="489">
        <v>0</v>
      </c>
      <c r="CR259" s="489">
        <v>0</v>
      </c>
    </row>
    <row r="260" spans="1:96" x14ac:dyDescent="0.2">
      <c r="A260" s="154">
        <v>848</v>
      </c>
      <c r="B260" s="156" t="s">
        <v>283</v>
      </c>
      <c r="C260" s="337">
        <v>4160</v>
      </c>
      <c r="D260" s="276">
        <v>21.75</v>
      </c>
      <c r="E260" s="185"/>
      <c r="G260" s="278">
        <v>7156.2941300000002</v>
      </c>
      <c r="H260" s="278">
        <v>39361.266640000002</v>
      </c>
      <c r="I260" s="278"/>
      <c r="J260" s="278">
        <v>12029.293369999999</v>
      </c>
      <c r="K260" s="278">
        <v>1524.7626200000002</v>
      </c>
      <c r="L260" s="278">
        <v>1057.0676599999999</v>
      </c>
      <c r="M260" s="278">
        <v>14611.12365</v>
      </c>
      <c r="N260" s="278">
        <v>18921.843000000001</v>
      </c>
      <c r="O260" s="278">
        <v>85.404780000000002</v>
      </c>
      <c r="P260" s="278">
        <v>36.051010000000005</v>
      </c>
      <c r="Q260" s="278">
        <v>133.70753999999999</v>
      </c>
      <c r="R260" s="278">
        <v>11.566540000000002</v>
      </c>
      <c r="S260" s="278">
        <v>1499.4889099999998</v>
      </c>
      <c r="U260" s="278">
        <v>1588.4159099999999</v>
      </c>
      <c r="V260" s="278">
        <v>0</v>
      </c>
      <c r="W260" s="278">
        <v>0</v>
      </c>
      <c r="X260" s="278">
        <v>-88.927000000000007</v>
      </c>
      <c r="Y260" s="278">
        <v>-89.247389999999996</v>
      </c>
      <c r="Z260" s="278">
        <v>0</v>
      </c>
      <c r="AA260" s="278">
        <v>0</v>
      </c>
      <c r="AB260" s="278">
        <v>0.32039000000000001</v>
      </c>
      <c r="AD260" s="278">
        <v>1687.3807799999997</v>
      </c>
      <c r="AE260" s="157">
        <v>981.51563999999996</v>
      </c>
      <c r="AF260" s="184">
        <v>-517.97327000000007</v>
      </c>
      <c r="AG260" s="278">
        <v>-1307.7687100000001</v>
      </c>
      <c r="AH260" s="278">
        <v>36.56147</v>
      </c>
      <c r="AI260" s="184">
        <v>228.14654999999999</v>
      </c>
      <c r="AJ260" s="278">
        <v>119.0633</v>
      </c>
      <c r="AL260" s="278">
        <v>8498.7820300000003</v>
      </c>
      <c r="AM260" s="184">
        <v>-148.79632999999998</v>
      </c>
      <c r="AN260" s="278">
        <v>-672.96406000000002</v>
      </c>
      <c r="AO260" s="355">
        <v>4066</v>
      </c>
      <c r="AP260" s="344">
        <v>9.11</v>
      </c>
      <c r="AQ260" s="462"/>
      <c r="AS260" s="469">
        <v>11119.427750000001</v>
      </c>
      <c r="AT260" s="278">
        <v>23597.14618</v>
      </c>
      <c r="AU260" s="464"/>
      <c r="AV260" s="346">
        <v>6052.6901699999999</v>
      </c>
      <c r="AW260" s="346">
        <v>867.72185999999999</v>
      </c>
      <c r="AX260" s="346">
        <v>1044.64788</v>
      </c>
      <c r="AY260" s="346">
        <v>7965.0599099999999</v>
      </c>
      <c r="AZ260" s="346">
        <v>6427.2219999999998</v>
      </c>
      <c r="BA260" s="278">
        <v>95.579589999999996</v>
      </c>
      <c r="BB260" s="345">
        <v>316.30809000000005</v>
      </c>
      <c r="BC260" s="278">
        <v>130.01996</v>
      </c>
      <c r="BD260" s="278">
        <v>4.1973900000000004</v>
      </c>
      <c r="BE260" s="346">
        <v>1819.6575500000001</v>
      </c>
      <c r="BG260" s="343">
        <v>1298.87408</v>
      </c>
      <c r="BH260" s="343">
        <v>0</v>
      </c>
      <c r="BI260" s="343">
        <v>0</v>
      </c>
      <c r="BJ260" s="346">
        <v>520.78346999999997</v>
      </c>
      <c r="BK260" s="346">
        <v>-21.7834</v>
      </c>
      <c r="BL260" s="343">
        <v>0</v>
      </c>
      <c r="BM260" s="343">
        <v>0</v>
      </c>
      <c r="BN260" s="346">
        <v>542.56686999999999</v>
      </c>
      <c r="BP260" s="346">
        <v>2229.9476500000001</v>
      </c>
      <c r="BQ260" s="318">
        <v>2253.1158300000002</v>
      </c>
      <c r="BR260" s="278">
        <v>433.45828</v>
      </c>
      <c r="BS260" s="475">
        <v>-2011.35169</v>
      </c>
      <c r="BT260" s="278">
        <v>418.29440999999997</v>
      </c>
      <c r="BU260" s="278">
        <v>265.67500999999999</v>
      </c>
      <c r="BV260" s="345">
        <v>123.10339999999999</v>
      </c>
      <c r="BX260" s="278">
        <v>9395.1104300000006</v>
      </c>
      <c r="BY260" s="483">
        <v>-1258.4962700000001</v>
      </c>
      <c r="BZ260" s="483">
        <v>896.32839999999999</v>
      </c>
      <c r="CA260" s="260"/>
      <c r="CB260" s="347">
        <v>9.1</v>
      </c>
      <c r="CC260" s="486">
        <f t="shared" ref="CC260:CC296" si="4">CB260</f>
        <v>9.1</v>
      </c>
      <c r="CD260" s="287"/>
      <c r="CE260" s="278"/>
      <c r="CF260" s="268"/>
      <c r="CG260" s="266"/>
      <c r="CI260" s="158">
        <v>0</v>
      </c>
      <c r="CJ260" s="343">
        <v>5187.9896747654111</v>
      </c>
      <c r="CK260" s="343">
        <v>6153.8403747036009</v>
      </c>
      <c r="CL260" s="343">
        <v>6025.9051265272574</v>
      </c>
      <c r="CM260" s="487">
        <v>5966.1522428483759</v>
      </c>
      <c r="CN260" s="487">
        <v>6577.2163825942116</v>
      </c>
      <c r="CO260" s="495">
        <v>646.25699999999995</v>
      </c>
      <c r="CP260" s="299"/>
      <c r="CQ260" s="489">
        <v>0</v>
      </c>
      <c r="CR260" s="489">
        <v>0</v>
      </c>
    </row>
    <row r="261" spans="1:96" x14ac:dyDescent="0.2">
      <c r="A261" s="154">
        <v>849</v>
      </c>
      <c r="B261" s="156" t="s">
        <v>284</v>
      </c>
      <c r="C261" s="337">
        <v>2903</v>
      </c>
      <c r="D261" s="276">
        <v>21.75</v>
      </c>
      <c r="E261" s="185"/>
      <c r="G261" s="278">
        <v>8231.9756099999995</v>
      </c>
      <c r="H261" s="278">
        <v>28749</v>
      </c>
      <c r="I261" s="278"/>
      <c r="J261" s="278">
        <v>8347.11924</v>
      </c>
      <c r="K261" s="278">
        <v>1262.9629600000001</v>
      </c>
      <c r="L261" s="278">
        <v>666.19520999999997</v>
      </c>
      <c r="M261" s="278">
        <v>10276.277410000001</v>
      </c>
      <c r="N261" s="278">
        <v>12067.519</v>
      </c>
      <c r="O261" s="278">
        <v>20.555299999999999</v>
      </c>
      <c r="P261" s="278">
        <v>174.85413</v>
      </c>
      <c r="Q261" s="278">
        <v>214.80703</v>
      </c>
      <c r="R261" s="278">
        <v>8.1027199999999997</v>
      </c>
      <c r="S261" s="278">
        <v>1879</v>
      </c>
      <c r="U261" s="278">
        <v>1051</v>
      </c>
      <c r="V261" s="278">
        <v>0</v>
      </c>
      <c r="W261" s="278">
        <v>0</v>
      </c>
      <c r="X261" s="278">
        <v>-1973.38275</v>
      </c>
      <c r="Y261" s="278">
        <v>0</v>
      </c>
      <c r="Z261" s="278">
        <v>0</v>
      </c>
      <c r="AA261" s="278">
        <v>0</v>
      </c>
      <c r="AB261" s="278">
        <v>829</v>
      </c>
      <c r="AD261" s="278">
        <v>4166</v>
      </c>
      <c r="AE261" s="157">
        <v>1905.4538799999998</v>
      </c>
      <c r="AF261" s="184">
        <v>26.231490000000001</v>
      </c>
      <c r="AG261" s="278">
        <v>-2021.1700700000001</v>
      </c>
      <c r="AH261" s="278">
        <v>342</v>
      </c>
      <c r="AI261" s="184">
        <v>0</v>
      </c>
      <c r="AJ261" s="278">
        <v>1407.0625500000001</v>
      </c>
      <c r="AL261" s="278">
        <v>17336.032999999999</v>
      </c>
      <c r="AM261" s="184">
        <v>8</v>
      </c>
      <c r="AN261" s="278">
        <v>933.072</v>
      </c>
      <c r="AO261" s="355">
        <v>2849</v>
      </c>
      <c r="AP261" s="344">
        <v>9.11</v>
      </c>
      <c r="AQ261" s="462"/>
      <c r="AS261" s="469">
        <v>24842.48965</v>
      </c>
      <c r="AT261" s="278">
        <v>34219.460129999999</v>
      </c>
      <c r="AU261" s="464"/>
      <c r="AV261" s="346">
        <v>4240.8777099999998</v>
      </c>
      <c r="AW261" s="346">
        <v>696.22832999999991</v>
      </c>
      <c r="AX261" s="346">
        <v>700.17998</v>
      </c>
      <c r="AY261" s="346">
        <v>5637.2860199999996</v>
      </c>
      <c r="AZ261" s="346">
        <v>5134.259</v>
      </c>
      <c r="BA261" s="278">
        <v>104.26633</v>
      </c>
      <c r="BB261" s="345">
        <v>445.80106000000001</v>
      </c>
      <c r="BC261" s="278">
        <v>82.556389999999993</v>
      </c>
      <c r="BD261" s="278">
        <v>21.214099999999998</v>
      </c>
      <c r="BE261" s="346">
        <v>1114.3821</v>
      </c>
      <c r="BG261" s="343">
        <v>1270.5417</v>
      </c>
      <c r="BH261" s="343">
        <v>1325.3340900000001</v>
      </c>
      <c r="BI261" s="343">
        <v>0</v>
      </c>
      <c r="BJ261" s="346">
        <v>1169.1744899999999</v>
      </c>
      <c r="BK261" s="343">
        <v>0</v>
      </c>
      <c r="BL261" s="343">
        <v>0</v>
      </c>
      <c r="BM261" s="343">
        <v>0</v>
      </c>
      <c r="BN261" s="346">
        <v>1169.1744899999999</v>
      </c>
      <c r="BP261" s="346">
        <v>5335.8915500000003</v>
      </c>
      <c r="BQ261" s="318">
        <v>2439.7150000000001</v>
      </c>
      <c r="BR261" s="278">
        <v>0</v>
      </c>
      <c r="BS261" s="475">
        <v>-667.59500000000003</v>
      </c>
      <c r="BT261" s="278">
        <v>0</v>
      </c>
      <c r="BU261" s="278">
        <v>2032.646</v>
      </c>
      <c r="BV261" s="345">
        <v>401.6</v>
      </c>
      <c r="BX261" s="278">
        <v>10888.023000000001</v>
      </c>
      <c r="BY261" s="483">
        <v>-2545</v>
      </c>
      <c r="BZ261" s="483">
        <v>-6448.01</v>
      </c>
      <c r="CA261" s="260"/>
      <c r="CB261" s="347">
        <v>9.5</v>
      </c>
      <c r="CC261" s="486">
        <f t="shared" si="4"/>
        <v>9.5</v>
      </c>
      <c r="CD261" s="287"/>
      <c r="CE261" s="278"/>
      <c r="CF261" s="268"/>
      <c r="CG261" s="266"/>
      <c r="CI261" s="158">
        <v>0</v>
      </c>
      <c r="CJ261" s="343">
        <v>5157.5876031733906</v>
      </c>
      <c r="CK261" s="343">
        <v>5286.0239374452894</v>
      </c>
      <c r="CL261" s="343">
        <v>5194.3057490798219</v>
      </c>
      <c r="CM261" s="487">
        <v>5071.2399183204216</v>
      </c>
      <c r="CN261" s="487">
        <v>5484.5591507892486</v>
      </c>
      <c r="CO261" s="495">
        <v>222.44399999999999</v>
      </c>
      <c r="CP261" s="299"/>
      <c r="CQ261" s="489">
        <v>0</v>
      </c>
      <c r="CR261" s="489">
        <v>0</v>
      </c>
    </row>
    <row r="262" spans="1:96" x14ac:dyDescent="0.2">
      <c r="A262" s="154">
        <v>850</v>
      </c>
      <c r="B262" s="156" t="s">
        <v>285</v>
      </c>
      <c r="C262" s="337">
        <v>2407</v>
      </c>
      <c r="D262" s="276">
        <v>21</v>
      </c>
      <c r="E262" s="185"/>
      <c r="G262" s="278">
        <v>2913.29394</v>
      </c>
      <c r="H262" s="278">
        <v>18607.124600000003</v>
      </c>
      <c r="I262" s="278"/>
      <c r="J262" s="278">
        <v>7497.0325300000004</v>
      </c>
      <c r="K262" s="278">
        <v>1055.2413700000002</v>
      </c>
      <c r="L262" s="278">
        <v>772.94055000000003</v>
      </c>
      <c r="M262" s="278">
        <v>9325.2144499999995</v>
      </c>
      <c r="N262" s="278">
        <v>7564.66</v>
      </c>
      <c r="O262" s="278">
        <v>4.0712399999999995</v>
      </c>
      <c r="P262" s="278">
        <v>67.510639999999995</v>
      </c>
      <c r="Q262" s="278">
        <v>75.929380000000009</v>
      </c>
      <c r="R262" s="278">
        <v>14.89025</v>
      </c>
      <c r="S262" s="278">
        <v>1193.6435200000001</v>
      </c>
      <c r="U262" s="278">
        <v>912.80944999999997</v>
      </c>
      <c r="V262" s="278">
        <v>0</v>
      </c>
      <c r="W262" s="278">
        <v>0</v>
      </c>
      <c r="X262" s="278">
        <v>280.83407</v>
      </c>
      <c r="Y262" s="278">
        <v>-21.443960000000001</v>
      </c>
      <c r="Z262" s="278">
        <v>0</v>
      </c>
      <c r="AA262" s="278">
        <v>0</v>
      </c>
      <c r="AB262" s="278">
        <v>302.27803</v>
      </c>
      <c r="AD262" s="278">
        <v>-1614.5208300000002</v>
      </c>
      <c r="AE262" s="157">
        <v>742.31361000000004</v>
      </c>
      <c r="AF262" s="184">
        <v>-451.32990999999998</v>
      </c>
      <c r="AG262" s="278">
        <v>-659.70384000000001</v>
      </c>
      <c r="AH262" s="278">
        <v>0</v>
      </c>
      <c r="AI262" s="184">
        <v>458.3</v>
      </c>
      <c r="AJ262" s="278">
        <v>1972.2047399999999</v>
      </c>
      <c r="AL262" s="278">
        <v>9684.842419999999</v>
      </c>
      <c r="AM262" s="184">
        <v>0</v>
      </c>
      <c r="AN262" s="278">
        <v>-892.11937999999998</v>
      </c>
      <c r="AO262" s="355">
        <v>2368</v>
      </c>
      <c r="AP262" s="344">
        <v>8.36</v>
      </c>
      <c r="AQ262" s="462"/>
      <c r="AS262" s="469">
        <v>2005.96741</v>
      </c>
      <c r="AT262" s="278">
        <v>9352.9826400000002</v>
      </c>
      <c r="AU262" s="464"/>
      <c r="AV262" s="346">
        <v>3903.4018900000001</v>
      </c>
      <c r="AW262" s="346">
        <v>622.63162</v>
      </c>
      <c r="AX262" s="346">
        <v>798.75492000000008</v>
      </c>
      <c r="AY262" s="346">
        <v>5324.7884299999996</v>
      </c>
      <c r="AZ262" s="346">
        <v>2743.9270000000001</v>
      </c>
      <c r="BA262" s="278">
        <v>33.931620000000002</v>
      </c>
      <c r="BB262" s="345">
        <v>302.05495000000002</v>
      </c>
      <c r="BC262" s="278">
        <v>3094.3858300000002</v>
      </c>
      <c r="BD262" s="278">
        <v>17.378209999999999</v>
      </c>
      <c r="BE262" s="346">
        <v>3530.5844900000002</v>
      </c>
      <c r="BG262" s="343">
        <v>834.31972999999994</v>
      </c>
      <c r="BH262" s="343">
        <v>0</v>
      </c>
      <c r="BI262" s="343">
        <v>0</v>
      </c>
      <c r="BJ262" s="346">
        <v>2696.2647599999996</v>
      </c>
      <c r="BK262" s="346">
        <v>-21.443960000000001</v>
      </c>
      <c r="BL262" s="343">
        <v>0</v>
      </c>
      <c r="BM262" s="343">
        <v>0</v>
      </c>
      <c r="BN262" s="346">
        <v>2717.7087200000001</v>
      </c>
      <c r="BP262" s="346">
        <v>1103.1878899999999</v>
      </c>
      <c r="BQ262" s="318">
        <v>4042.2384400000001</v>
      </c>
      <c r="BR262" s="278">
        <v>511.65395000000001</v>
      </c>
      <c r="BS262" s="475">
        <v>-314.08440000000002</v>
      </c>
      <c r="BT262" s="278">
        <v>9</v>
      </c>
      <c r="BU262" s="278">
        <v>127.375</v>
      </c>
      <c r="BV262" s="345">
        <v>4250.0347300000003</v>
      </c>
      <c r="BX262" s="278">
        <v>8842.7230400000008</v>
      </c>
      <c r="BY262" s="483">
        <v>0</v>
      </c>
      <c r="BZ262" s="483">
        <v>-842.11937999999998</v>
      </c>
      <c r="CA262" s="260"/>
      <c r="CB262" s="347">
        <v>9.4</v>
      </c>
      <c r="CC262" s="486">
        <f t="shared" si="4"/>
        <v>9.4</v>
      </c>
      <c r="CD262" s="287"/>
      <c r="CE262" s="278"/>
      <c r="CF262" s="268"/>
      <c r="CG262" s="266"/>
      <c r="CI262" s="158">
        <v>470</v>
      </c>
      <c r="CJ262" s="343">
        <v>2361.1773025009688</v>
      </c>
      <c r="CK262" s="343">
        <v>2621.1690730152404</v>
      </c>
      <c r="CL262" s="343">
        <v>2741.5412837065041</v>
      </c>
      <c r="CM262" s="487">
        <v>2597.2925594405474</v>
      </c>
      <c r="CN262" s="487">
        <v>2642.4265091505417</v>
      </c>
      <c r="CO262" s="495">
        <v>-504.2</v>
      </c>
      <c r="CP262" s="299"/>
      <c r="CQ262" s="489">
        <v>0</v>
      </c>
      <c r="CR262" s="489">
        <v>0</v>
      </c>
    </row>
    <row r="263" spans="1:96" x14ac:dyDescent="0.2">
      <c r="A263" s="154">
        <v>851</v>
      </c>
      <c r="B263" s="156" t="s">
        <v>286</v>
      </c>
      <c r="C263" s="337">
        <v>21227</v>
      </c>
      <c r="D263" s="276">
        <v>21</v>
      </c>
      <c r="E263" s="185"/>
      <c r="G263" s="278">
        <v>25736.57085</v>
      </c>
      <c r="H263" s="278">
        <v>159650.34344</v>
      </c>
      <c r="I263" s="278"/>
      <c r="J263" s="278">
        <v>80986.907829999996</v>
      </c>
      <c r="K263" s="278">
        <v>5133.4987000000001</v>
      </c>
      <c r="L263" s="278">
        <v>7030.0487899999998</v>
      </c>
      <c r="M263" s="278">
        <v>93150.455319999994</v>
      </c>
      <c r="N263" s="278">
        <v>46732.57</v>
      </c>
      <c r="O263" s="278">
        <v>354.74826999999999</v>
      </c>
      <c r="P263" s="278">
        <v>347.49053999999995</v>
      </c>
      <c r="Q263" s="278">
        <v>282.36723000000001</v>
      </c>
      <c r="R263" s="278">
        <v>2.7401599999999999</v>
      </c>
      <c r="S263" s="278">
        <v>6256.13753</v>
      </c>
      <c r="U263" s="278">
        <v>6118.1220199999998</v>
      </c>
      <c r="V263" s="278">
        <v>0</v>
      </c>
      <c r="W263" s="278">
        <v>0</v>
      </c>
      <c r="X263" s="278">
        <v>138.01551000000001</v>
      </c>
      <c r="Y263" s="278">
        <v>0</v>
      </c>
      <c r="Z263" s="278">
        <v>-28.27346</v>
      </c>
      <c r="AA263" s="278">
        <v>0</v>
      </c>
      <c r="AB263" s="278">
        <v>166.28897000000001</v>
      </c>
      <c r="AD263" s="278">
        <v>13881.077290000001</v>
      </c>
      <c r="AE263" s="157">
        <v>3711.48767</v>
      </c>
      <c r="AF263" s="184">
        <v>-2544.64986</v>
      </c>
      <c r="AG263" s="278">
        <v>-7328.5293799999999</v>
      </c>
      <c r="AH263" s="278">
        <v>225.5</v>
      </c>
      <c r="AI263" s="184">
        <v>390.55453</v>
      </c>
      <c r="AJ263" s="278">
        <v>4478.7552900000001</v>
      </c>
      <c r="AL263" s="278">
        <v>62149.999999999993</v>
      </c>
      <c r="AM263" s="184">
        <v>-2.5819999999999999</v>
      </c>
      <c r="AN263" s="278">
        <v>-1900</v>
      </c>
      <c r="AO263" s="355">
        <v>21018</v>
      </c>
      <c r="AP263" s="344">
        <v>8.36</v>
      </c>
      <c r="AQ263" s="462"/>
      <c r="AS263" s="469">
        <v>14521.23544</v>
      </c>
      <c r="AT263" s="278">
        <v>66489.636459999994</v>
      </c>
      <c r="AU263" s="464"/>
      <c r="AV263" s="346">
        <v>41212.146260000001</v>
      </c>
      <c r="AW263" s="346">
        <v>3335.0470599999999</v>
      </c>
      <c r="AX263" s="346">
        <v>7202.0369299999993</v>
      </c>
      <c r="AY263" s="346">
        <v>51749.230250000001</v>
      </c>
      <c r="AZ263" s="346">
        <v>15222.748</v>
      </c>
      <c r="BA263" s="278">
        <v>285.14191999999997</v>
      </c>
      <c r="BB263" s="345">
        <v>1094.6971100000001</v>
      </c>
      <c r="BC263" s="278">
        <v>363.80387000000002</v>
      </c>
      <c r="BD263" s="278">
        <v>-52.089059999999996</v>
      </c>
      <c r="BE263" s="346">
        <v>14609.91497</v>
      </c>
      <c r="BG263" s="343">
        <v>6291.0672000000004</v>
      </c>
      <c r="BH263" s="343">
        <v>0</v>
      </c>
      <c r="BI263" s="343">
        <v>0</v>
      </c>
      <c r="BJ263" s="346">
        <v>8318.8477700000003</v>
      </c>
      <c r="BK263" s="346">
        <v>0</v>
      </c>
      <c r="BL263" s="343">
        <v>-7.2587700000000002</v>
      </c>
      <c r="BM263" s="343">
        <v>0</v>
      </c>
      <c r="BN263" s="346">
        <v>8326.1065400000007</v>
      </c>
      <c r="BP263" s="346">
        <v>22207.183830000002</v>
      </c>
      <c r="BQ263" s="318">
        <v>14247.842789999999</v>
      </c>
      <c r="BR263" s="278">
        <v>-362.07218</v>
      </c>
      <c r="BS263" s="475">
        <v>-8791.70694</v>
      </c>
      <c r="BT263" s="278">
        <v>826.85</v>
      </c>
      <c r="BU263" s="278">
        <v>225.63488000000001</v>
      </c>
      <c r="BV263" s="345">
        <v>3322.8747000000003</v>
      </c>
      <c r="BX263" s="278">
        <v>56550</v>
      </c>
      <c r="BY263" s="483">
        <v>-6.0359999999999996</v>
      </c>
      <c r="BZ263" s="483">
        <v>-5600</v>
      </c>
      <c r="CA263" s="260"/>
      <c r="CB263" s="347">
        <v>8.4</v>
      </c>
      <c r="CC263" s="486">
        <f t="shared" si="4"/>
        <v>8.4</v>
      </c>
      <c r="CD263" s="287"/>
      <c r="CE263" s="278"/>
      <c r="CF263" s="268"/>
      <c r="CI263" s="158">
        <v>0</v>
      </c>
      <c r="CJ263" s="343">
        <v>9718.9530407221082</v>
      </c>
      <c r="CK263" s="343">
        <v>11427.280193178121</v>
      </c>
      <c r="CL263" s="343">
        <v>9576.4245096771629</v>
      </c>
      <c r="CM263" s="487">
        <v>9720.3031844135094</v>
      </c>
      <c r="CN263" s="487">
        <v>11016.810177667136</v>
      </c>
      <c r="CO263" s="495">
        <v>-327.21899999999999</v>
      </c>
      <c r="CP263" s="299"/>
      <c r="CQ263" s="489">
        <v>0</v>
      </c>
      <c r="CR263" s="489">
        <v>0</v>
      </c>
    </row>
    <row r="264" spans="1:96" x14ac:dyDescent="0.2">
      <c r="A264" s="154">
        <v>853</v>
      </c>
      <c r="B264" s="156" t="s">
        <v>287</v>
      </c>
      <c r="C264" s="337">
        <v>197900</v>
      </c>
      <c r="D264" s="276">
        <v>19.5</v>
      </c>
      <c r="E264" s="185"/>
      <c r="G264" s="278">
        <v>318442.31782</v>
      </c>
      <c r="H264" s="278">
        <v>1545166.87369</v>
      </c>
      <c r="I264" s="278"/>
      <c r="J264" s="278">
        <v>697531.32762999996</v>
      </c>
      <c r="K264" s="278">
        <v>180748.39688999997</v>
      </c>
      <c r="L264" s="278">
        <v>69684.313120000006</v>
      </c>
      <c r="M264" s="278">
        <v>947964.03764</v>
      </c>
      <c r="N264" s="278">
        <v>319666.43112000002</v>
      </c>
      <c r="O264" s="278">
        <v>17031.659159999999</v>
      </c>
      <c r="P264" s="278">
        <v>6518.2689900000005</v>
      </c>
      <c r="Q264" s="278">
        <v>29228.38463</v>
      </c>
      <c r="R264" s="278">
        <v>4438.5998099999997</v>
      </c>
      <c r="S264" s="278">
        <v>77546.300220000005</v>
      </c>
      <c r="U264" s="278">
        <v>61513.326850000005</v>
      </c>
      <c r="V264" s="278">
        <v>0</v>
      </c>
      <c r="W264" s="278">
        <v>0</v>
      </c>
      <c r="X264" s="278">
        <v>16032.97337</v>
      </c>
      <c r="Y264" s="278">
        <v>-2198.22354</v>
      </c>
      <c r="Z264" s="278">
        <v>0</v>
      </c>
      <c r="AA264" s="278">
        <v>0</v>
      </c>
      <c r="AB264" s="278">
        <v>18231.196909999999</v>
      </c>
      <c r="AD264" s="278">
        <v>236787.54972000001</v>
      </c>
      <c r="AE264" s="157">
        <v>48812.224719999998</v>
      </c>
      <c r="AF264" s="184">
        <v>-28734.075499999999</v>
      </c>
      <c r="AG264" s="278">
        <v>-120993.8437</v>
      </c>
      <c r="AH264" s="278">
        <v>3220.4996499999997</v>
      </c>
      <c r="AI264" s="184">
        <v>43593.706159999994</v>
      </c>
      <c r="AJ264" s="278">
        <v>81514.597999999998</v>
      </c>
      <c r="AL264" s="278">
        <v>716424.82276999997</v>
      </c>
      <c r="AM264" s="184">
        <v>6172.4863700000005</v>
      </c>
      <c r="AN264" s="278">
        <v>-79334.171010000005</v>
      </c>
      <c r="AO264" s="355">
        <v>201863</v>
      </c>
      <c r="AP264" s="344">
        <v>6.8600000000000012</v>
      </c>
      <c r="AQ264" s="462"/>
      <c r="AS264" s="469">
        <v>205946.59715000002</v>
      </c>
      <c r="AT264" s="278">
        <v>748140.54203000001</v>
      </c>
      <c r="AU264" s="464"/>
      <c r="AV264" s="346">
        <v>325658.63152999996</v>
      </c>
      <c r="AW264" s="346">
        <v>120298.30867</v>
      </c>
      <c r="AX264" s="346">
        <v>73263.431840000005</v>
      </c>
      <c r="AY264" s="346">
        <v>519220.37204000005</v>
      </c>
      <c r="AZ264" s="346">
        <v>80773.646999999997</v>
      </c>
      <c r="BA264" s="278">
        <v>22026.637910000001</v>
      </c>
      <c r="BB264" s="345">
        <v>11500.816490000001</v>
      </c>
      <c r="BC264" s="278">
        <v>27078.197829999997</v>
      </c>
      <c r="BD264" s="278">
        <v>573.98230000000001</v>
      </c>
      <c r="BE264" s="346">
        <v>96601.076610000004</v>
      </c>
      <c r="BG264" s="343">
        <v>66127.413369999995</v>
      </c>
      <c r="BH264" s="346">
        <v>0</v>
      </c>
      <c r="BI264" s="346">
        <v>0</v>
      </c>
      <c r="BJ264" s="346">
        <v>30473.663239999998</v>
      </c>
      <c r="BK264" s="346">
        <v>-2034.42527</v>
      </c>
      <c r="BL264" s="343">
        <v>0</v>
      </c>
      <c r="BM264" s="343">
        <v>0</v>
      </c>
      <c r="BN264" s="346">
        <v>32508.088510000001</v>
      </c>
      <c r="BP264" s="346">
        <v>269295.63823000004</v>
      </c>
      <c r="BQ264" s="318">
        <v>78970.623879999999</v>
      </c>
      <c r="BR264" s="278">
        <v>-17630.452730000001</v>
      </c>
      <c r="BS264" s="475">
        <v>-182341.68088999999</v>
      </c>
      <c r="BT264" s="278">
        <v>10086.64458</v>
      </c>
      <c r="BU264" s="278">
        <v>22172.312300000001</v>
      </c>
      <c r="BV264" s="345">
        <v>85891.290389999995</v>
      </c>
      <c r="BX264" s="278">
        <v>863229.62971999997</v>
      </c>
      <c r="BY264" s="483">
        <v>10778.695730000001</v>
      </c>
      <c r="BZ264" s="483">
        <v>146804.80695</v>
      </c>
      <c r="CA264" s="260"/>
      <c r="CB264" s="347">
        <v>6.9</v>
      </c>
      <c r="CC264" s="486">
        <f t="shared" si="4"/>
        <v>6.9</v>
      </c>
      <c r="CD264" s="287"/>
      <c r="CE264" s="278"/>
      <c r="CF264" s="268"/>
      <c r="CI264" s="158">
        <v>0</v>
      </c>
      <c r="CJ264" s="343">
        <v>72855.734233098323</v>
      </c>
      <c r="CK264" s="343">
        <v>100508.26798246315</v>
      </c>
      <c r="CL264" s="343">
        <v>108247.48067889812</v>
      </c>
      <c r="CM264" s="487">
        <v>112072.95532901735</v>
      </c>
      <c r="CN264" s="487">
        <v>121353.5054372499</v>
      </c>
      <c r="CO264" s="495">
        <v>46494.646999999997</v>
      </c>
      <c r="CP264" s="299"/>
      <c r="CQ264" s="489">
        <v>1337.21234</v>
      </c>
      <c r="CR264" s="489">
        <v>1770.9655</v>
      </c>
    </row>
    <row r="265" spans="1:96" x14ac:dyDescent="0.2">
      <c r="A265" s="154">
        <v>857</v>
      </c>
      <c r="B265" s="156" t="s">
        <v>288</v>
      </c>
      <c r="C265" s="337">
        <v>2394</v>
      </c>
      <c r="D265" s="276">
        <v>22</v>
      </c>
      <c r="E265" s="185"/>
      <c r="G265" s="278">
        <v>4009.4354600000001</v>
      </c>
      <c r="H265" s="278">
        <v>23628.030070000001</v>
      </c>
      <c r="I265" s="278"/>
      <c r="J265" s="278">
        <v>6761.9950999999992</v>
      </c>
      <c r="K265" s="278">
        <v>1291.5520900000001</v>
      </c>
      <c r="L265" s="278">
        <v>993.82931000000008</v>
      </c>
      <c r="M265" s="278">
        <v>9047.3765000000003</v>
      </c>
      <c r="N265" s="278">
        <v>11144.147000000001</v>
      </c>
      <c r="O265" s="278">
        <v>9.0990000000000001E-2</v>
      </c>
      <c r="P265" s="278">
        <v>21.588909999999998</v>
      </c>
      <c r="Q265" s="278">
        <v>190.66329000000002</v>
      </c>
      <c r="R265" s="278">
        <v>0.64190999999999998</v>
      </c>
      <c r="S265" s="278">
        <v>743.09213</v>
      </c>
      <c r="U265" s="278">
        <v>986.91656</v>
      </c>
      <c r="V265" s="278">
        <v>0</v>
      </c>
      <c r="W265" s="278">
        <v>0</v>
      </c>
      <c r="X265" s="278">
        <v>-243.82443000000001</v>
      </c>
      <c r="Y265" s="278">
        <v>-111.11594000000001</v>
      </c>
      <c r="Z265" s="278">
        <v>0</v>
      </c>
      <c r="AA265" s="278">
        <v>0</v>
      </c>
      <c r="AB265" s="278">
        <v>-132.70848999999998</v>
      </c>
      <c r="AD265" s="278">
        <v>3035.4047099999998</v>
      </c>
      <c r="AE265" s="157">
        <v>717.3111899999999</v>
      </c>
      <c r="AF265" s="184">
        <v>-25.780939999999998</v>
      </c>
      <c r="AG265" s="278">
        <v>-316.80527000000001</v>
      </c>
      <c r="AH265" s="278">
        <v>25.89161</v>
      </c>
      <c r="AI265" s="184">
        <v>29.71</v>
      </c>
      <c r="AJ265" s="278">
        <v>1598.4560200000001</v>
      </c>
      <c r="AL265" s="278">
        <v>3175</v>
      </c>
      <c r="AM265" s="184">
        <v>0</v>
      </c>
      <c r="AN265" s="278">
        <v>-575</v>
      </c>
      <c r="AO265" s="355">
        <v>2313</v>
      </c>
      <c r="AP265" s="344">
        <v>9.36</v>
      </c>
      <c r="AQ265" s="462"/>
      <c r="AS265" s="469">
        <v>3185.9301700000001</v>
      </c>
      <c r="AT265" s="278">
        <v>8877.5062899999994</v>
      </c>
      <c r="AU265" s="464"/>
      <c r="AV265" s="346">
        <v>3573.3442099999997</v>
      </c>
      <c r="AW265" s="346">
        <v>753.40494999999999</v>
      </c>
      <c r="AX265" s="346">
        <v>1022.48341</v>
      </c>
      <c r="AY265" s="346">
        <v>5349.2325700000001</v>
      </c>
      <c r="AZ265" s="346">
        <v>-83.040999999999997</v>
      </c>
      <c r="BA265" s="278">
        <v>5.9249999999999997E-2</v>
      </c>
      <c r="BB265" s="345">
        <v>64.087389999999999</v>
      </c>
      <c r="BC265" s="278">
        <v>198.28331</v>
      </c>
      <c r="BD265" s="278">
        <v>2.1095300000000003</v>
      </c>
      <c r="BE265" s="346">
        <v>-274.28853999999995</v>
      </c>
      <c r="BG265" s="343">
        <v>928.72293000000002</v>
      </c>
      <c r="BH265" s="343">
        <v>0</v>
      </c>
      <c r="BI265" s="343">
        <v>0</v>
      </c>
      <c r="BJ265" s="346">
        <v>-1203.0114699999999</v>
      </c>
      <c r="BK265" s="346">
        <v>-111.1159</v>
      </c>
      <c r="BL265" s="346">
        <v>0</v>
      </c>
      <c r="BM265" s="346">
        <v>0</v>
      </c>
      <c r="BN265" s="346">
        <v>-1091.8955700000001</v>
      </c>
      <c r="BP265" s="346">
        <v>1943.5091399999997</v>
      </c>
      <c r="BQ265" s="318">
        <v>40.401760000000003</v>
      </c>
      <c r="BR265" s="278">
        <v>314.69029999999998</v>
      </c>
      <c r="BS265" s="475">
        <v>-648.05505000000005</v>
      </c>
      <c r="BT265" s="278">
        <v>92.524500000000003</v>
      </c>
      <c r="BU265" s="278">
        <v>38.299999999999997</v>
      </c>
      <c r="BV265" s="345">
        <v>1216.7391200000002</v>
      </c>
      <c r="BX265" s="278">
        <v>3725</v>
      </c>
      <c r="BY265" s="483">
        <v>0</v>
      </c>
      <c r="BZ265" s="483">
        <v>550</v>
      </c>
      <c r="CA265" s="260"/>
      <c r="CB265" s="347">
        <v>9.4</v>
      </c>
      <c r="CC265" s="486">
        <f t="shared" si="4"/>
        <v>9.4</v>
      </c>
      <c r="CD265" s="287"/>
      <c r="CE265" s="278"/>
      <c r="CF265" s="268"/>
      <c r="CI265" s="158">
        <v>0</v>
      </c>
      <c r="CJ265" s="343">
        <v>40.987953390704149</v>
      </c>
      <c r="CK265" s="343">
        <v>262.50483112583078</v>
      </c>
      <c r="CL265" s="343">
        <v>116.06887576045983</v>
      </c>
      <c r="CM265" s="487">
        <v>165.27294349106188</v>
      </c>
      <c r="CN265" s="487">
        <v>420.35327444759287</v>
      </c>
      <c r="CO265" s="495">
        <v>194.858</v>
      </c>
      <c r="CP265" s="299"/>
      <c r="CQ265" s="489">
        <v>1.63978</v>
      </c>
      <c r="CR265" s="489">
        <v>18.950369999999999</v>
      </c>
    </row>
    <row r="266" spans="1:96" x14ac:dyDescent="0.2">
      <c r="A266" s="154">
        <v>858</v>
      </c>
      <c r="B266" s="156" t="s">
        <v>289</v>
      </c>
      <c r="C266" s="337">
        <v>40384</v>
      </c>
      <c r="D266" s="276">
        <v>19.75</v>
      </c>
      <c r="E266" s="185"/>
      <c r="G266" s="278">
        <v>47708.262119999999</v>
      </c>
      <c r="H266" s="278">
        <v>275282.75873</v>
      </c>
      <c r="I266" s="278"/>
      <c r="J266" s="278">
        <v>188924.8603</v>
      </c>
      <c r="K266" s="278">
        <v>13678.677619999999</v>
      </c>
      <c r="L266" s="278">
        <v>14583.09865</v>
      </c>
      <c r="M266" s="278">
        <v>217186.63657</v>
      </c>
      <c r="N266" s="278">
        <v>36369.27852</v>
      </c>
      <c r="O266" s="278">
        <v>77.850669999999994</v>
      </c>
      <c r="P266" s="278">
        <v>1275.6641999999999</v>
      </c>
      <c r="Q266" s="278">
        <v>717.67835000000002</v>
      </c>
      <c r="R266" s="278">
        <v>20.169400000000003</v>
      </c>
      <c r="S266" s="278">
        <v>25847.61593</v>
      </c>
      <c r="U266" s="278">
        <v>19802.112880000001</v>
      </c>
      <c r="V266" s="278">
        <v>0</v>
      </c>
      <c r="W266" s="278">
        <v>0</v>
      </c>
      <c r="X266" s="278">
        <v>6045.5030500000003</v>
      </c>
      <c r="Y266" s="278">
        <v>1094.4212299999999</v>
      </c>
      <c r="Z266" s="278">
        <v>-1100</v>
      </c>
      <c r="AA266" s="278">
        <v>0</v>
      </c>
      <c r="AB266" s="278">
        <v>6051.0818200000003</v>
      </c>
      <c r="AD266" s="278">
        <v>60705.649969999999</v>
      </c>
      <c r="AE266" s="157">
        <v>15455.230140000001</v>
      </c>
      <c r="AF266" s="184">
        <v>-10392.38582</v>
      </c>
      <c r="AG266" s="278">
        <v>-57684.880020000004</v>
      </c>
      <c r="AH266" s="278">
        <v>1572.34698</v>
      </c>
      <c r="AI266" s="184">
        <v>11326.524800000001</v>
      </c>
      <c r="AJ266" s="278">
        <v>2981.1402499999999</v>
      </c>
      <c r="AL266" s="278">
        <v>163088.38167999999</v>
      </c>
      <c r="AM266" s="184">
        <v>0</v>
      </c>
      <c r="AN266" s="278">
        <v>18913.432649999999</v>
      </c>
      <c r="AO266" s="355">
        <v>41338</v>
      </c>
      <c r="AP266" s="344">
        <v>7.1099999999999994</v>
      </c>
      <c r="AQ266" s="462"/>
      <c r="AS266" s="469">
        <v>47791.854039999998</v>
      </c>
      <c r="AT266" s="278">
        <v>151743.06491999998</v>
      </c>
      <c r="AU266" s="464"/>
      <c r="AV266" s="346">
        <v>90985.070939999991</v>
      </c>
      <c r="AW266" s="346">
        <v>9266.8024399999995</v>
      </c>
      <c r="AX266" s="346">
        <v>15378.372789999999</v>
      </c>
      <c r="AY266" s="346">
        <v>115630.24617</v>
      </c>
      <c r="AZ266" s="346">
        <v>27594.530699999999</v>
      </c>
      <c r="BA266" s="278">
        <v>201.80389000000002</v>
      </c>
      <c r="BB266" s="345">
        <v>1863.61618</v>
      </c>
      <c r="BC266" s="278">
        <v>369.66790999999995</v>
      </c>
      <c r="BD266" s="278">
        <v>11.37518</v>
      </c>
      <c r="BE266" s="346">
        <v>38228.720590000004</v>
      </c>
      <c r="BG266" s="343">
        <v>24165.72048</v>
      </c>
      <c r="BH266" s="346">
        <v>0</v>
      </c>
      <c r="BI266" s="343">
        <v>221.98964999999998</v>
      </c>
      <c r="BJ266" s="346">
        <v>13841.010460000001</v>
      </c>
      <c r="BK266" s="343">
        <v>-66.945239999999998</v>
      </c>
      <c r="BL266" s="343">
        <v>8200</v>
      </c>
      <c r="BM266" s="343">
        <v>0</v>
      </c>
      <c r="BN266" s="346">
        <v>5707.9557000000004</v>
      </c>
      <c r="BP266" s="346">
        <v>64333.372100000001</v>
      </c>
      <c r="BQ266" s="318">
        <v>29804.105359999998</v>
      </c>
      <c r="BR266" s="278">
        <v>-8202.6255799999999</v>
      </c>
      <c r="BS266" s="475">
        <v>-82562.487549999991</v>
      </c>
      <c r="BT266" s="278">
        <v>0</v>
      </c>
      <c r="BU266" s="278">
        <v>12772.512140000001</v>
      </c>
      <c r="BV266" s="345">
        <v>4193.9272799999999</v>
      </c>
      <c r="BX266" s="278">
        <v>199818.32037999999</v>
      </c>
      <c r="BY266" s="483">
        <v>-410.29333000000003</v>
      </c>
      <c r="BZ266" s="483">
        <v>36729.938700000006</v>
      </c>
      <c r="CA266" s="260"/>
      <c r="CB266" s="347">
        <v>7.1</v>
      </c>
      <c r="CC266" s="486">
        <f t="shared" si="4"/>
        <v>7.1</v>
      </c>
      <c r="CD266" s="287"/>
      <c r="CE266" s="278"/>
      <c r="CF266" s="268"/>
      <c r="CI266" s="158">
        <v>0</v>
      </c>
      <c r="CJ266" s="343">
        <v>28495.390866754475</v>
      </c>
      <c r="CK266" s="343">
        <v>30993.428847053223</v>
      </c>
      <c r="CL266" s="343">
        <v>28959.593610124113</v>
      </c>
      <c r="CM266" s="487">
        <v>28490.302419061405</v>
      </c>
      <c r="CN266" s="487">
        <v>29301.583553250352</v>
      </c>
      <c r="CO266" s="495">
        <v>-3561.6370000000002</v>
      </c>
      <c r="CP266" s="299"/>
      <c r="CQ266" s="489">
        <v>366.50203000000005</v>
      </c>
      <c r="CR266" s="489">
        <v>258.67416000000003</v>
      </c>
    </row>
    <row r="267" spans="1:96" x14ac:dyDescent="0.2">
      <c r="A267" s="154">
        <v>859</v>
      </c>
      <c r="B267" s="156" t="s">
        <v>290</v>
      </c>
      <c r="C267" s="337">
        <v>6562</v>
      </c>
      <c r="D267" s="276">
        <v>21.999999999999996</v>
      </c>
      <c r="E267" s="185"/>
      <c r="G267" s="278">
        <v>5654.4621999999999</v>
      </c>
      <c r="H267" s="278">
        <v>47712.33973</v>
      </c>
      <c r="I267" s="278"/>
      <c r="J267" s="278">
        <v>20276.37961</v>
      </c>
      <c r="K267" s="278">
        <v>847.03409999999997</v>
      </c>
      <c r="L267" s="278">
        <v>986.38247000000001</v>
      </c>
      <c r="M267" s="278">
        <v>22109.796180000001</v>
      </c>
      <c r="N267" s="278">
        <v>22401.451000000001</v>
      </c>
      <c r="O267" s="278">
        <v>12.62139</v>
      </c>
      <c r="P267" s="278">
        <v>277.05493999999999</v>
      </c>
      <c r="Q267" s="278">
        <v>25.88475</v>
      </c>
      <c r="R267" s="278">
        <v>18.72503</v>
      </c>
      <c r="S267" s="278">
        <v>2196.09582</v>
      </c>
      <c r="U267" s="278">
        <v>1996.6689799999999</v>
      </c>
      <c r="V267" s="278">
        <v>0</v>
      </c>
      <c r="W267" s="278">
        <v>0</v>
      </c>
      <c r="X267" s="278">
        <v>199.42684</v>
      </c>
      <c r="Y267" s="278">
        <v>0</v>
      </c>
      <c r="Z267" s="278">
        <v>0</v>
      </c>
      <c r="AA267" s="278">
        <v>0</v>
      </c>
      <c r="AB267" s="278">
        <v>199.42684</v>
      </c>
      <c r="AD267" s="278">
        <v>3327.32926</v>
      </c>
      <c r="AE267" s="157">
        <v>2059.2667000000001</v>
      </c>
      <c r="AF267" s="184">
        <v>-136.82911999999999</v>
      </c>
      <c r="AG267" s="278">
        <v>-1720.7839799999999</v>
      </c>
      <c r="AH267" s="278">
        <v>15</v>
      </c>
      <c r="AI267" s="184">
        <v>220.18433999999999</v>
      </c>
      <c r="AJ267" s="278">
        <v>2226.6140299999997</v>
      </c>
      <c r="AL267" s="278">
        <v>29139.635279999999</v>
      </c>
      <c r="AM267" s="184">
        <v>0</v>
      </c>
      <c r="AN267" s="278">
        <v>-1061.68334</v>
      </c>
      <c r="AO267" s="355">
        <v>6525</v>
      </c>
      <c r="AP267" s="344">
        <v>9.36</v>
      </c>
      <c r="AQ267" s="462"/>
      <c r="AS267" s="469">
        <v>3457.7127799999998</v>
      </c>
      <c r="AT267" s="278">
        <v>24524.864109999999</v>
      </c>
      <c r="AU267" s="464"/>
      <c r="AV267" s="346">
        <v>10497.93</v>
      </c>
      <c r="AW267" s="346">
        <v>552.93540000000007</v>
      </c>
      <c r="AX267" s="346">
        <v>1013.79542</v>
      </c>
      <c r="AY267" s="346">
        <v>12064.660820000001</v>
      </c>
      <c r="AZ267" s="346">
        <v>12189.387000000001</v>
      </c>
      <c r="BA267" s="278">
        <v>39.607099999999996</v>
      </c>
      <c r="BB267" s="345">
        <v>439.73784000000001</v>
      </c>
      <c r="BC267" s="278">
        <v>36.944410000000005</v>
      </c>
      <c r="BD267" s="278">
        <v>70.199590000000001</v>
      </c>
      <c r="BE267" s="346">
        <v>2753.5105699999999</v>
      </c>
      <c r="BG267" s="343">
        <v>2113.14183</v>
      </c>
      <c r="BH267" s="343">
        <v>0</v>
      </c>
      <c r="BI267" s="343">
        <v>0</v>
      </c>
      <c r="BJ267" s="346">
        <v>640.36874</v>
      </c>
      <c r="BK267" s="346">
        <v>0</v>
      </c>
      <c r="BL267" s="346">
        <v>400</v>
      </c>
      <c r="BM267" s="343">
        <v>0</v>
      </c>
      <c r="BN267" s="346">
        <v>240.36874</v>
      </c>
      <c r="BP267" s="346">
        <v>3567.6979999999999</v>
      </c>
      <c r="BQ267" s="318">
        <v>2662.7300399999999</v>
      </c>
      <c r="BR267" s="278">
        <v>-90.780529999999999</v>
      </c>
      <c r="BS267" s="475">
        <v>-4326.5669699999999</v>
      </c>
      <c r="BT267" s="278">
        <v>0</v>
      </c>
      <c r="BU267" s="278">
        <v>280.45539000000002</v>
      </c>
      <c r="BV267" s="345">
        <v>710.16025999999999</v>
      </c>
      <c r="BX267" s="278">
        <v>30365.451940000003</v>
      </c>
      <c r="BY267" s="483">
        <v>-178</v>
      </c>
      <c r="BZ267" s="483">
        <v>1225.81666</v>
      </c>
      <c r="CA267" s="260"/>
      <c r="CB267" s="347">
        <v>9.9</v>
      </c>
      <c r="CC267" s="486">
        <f t="shared" si="4"/>
        <v>9.9</v>
      </c>
      <c r="CD267" s="287"/>
      <c r="CE267" s="278"/>
      <c r="CF267" s="268"/>
      <c r="CI267" s="158">
        <v>0</v>
      </c>
      <c r="CJ267" s="343">
        <v>11048.310353021832</v>
      </c>
      <c r="CK267" s="343">
        <v>11575.734698435333</v>
      </c>
      <c r="CL267" s="343">
        <v>11378.544133238745</v>
      </c>
      <c r="CM267" s="487">
        <v>11562.748760495753</v>
      </c>
      <c r="CN267" s="487">
        <v>11991.158386124433</v>
      </c>
      <c r="CO267" s="495">
        <v>-979.61</v>
      </c>
      <c r="CP267" s="299"/>
      <c r="CQ267" s="489">
        <v>0</v>
      </c>
      <c r="CR267" s="489">
        <v>0</v>
      </c>
    </row>
    <row r="268" spans="1:96" x14ac:dyDescent="0.2">
      <c r="A268" s="154">
        <v>886</v>
      </c>
      <c r="B268" s="156" t="s">
        <v>291</v>
      </c>
      <c r="C268" s="337">
        <v>12599</v>
      </c>
      <c r="D268" s="276">
        <v>21.5</v>
      </c>
      <c r="E268" s="185"/>
      <c r="G268" s="278">
        <v>10509.96098</v>
      </c>
      <c r="H268" s="278">
        <v>89971.153560000006</v>
      </c>
      <c r="I268" s="278"/>
      <c r="J268" s="278">
        <v>49579.584659999993</v>
      </c>
      <c r="K268" s="278">
        <v>3709.4176200000002</v>
      </c>
      <c r="L268" s="278">
        <v>3037.1056899999999</v>
      </c>
      <c r="M268" s="278">
        <v>56326.107969999997</v>
      </c>
      <c r="N268" s="278">
        <v>26543.686000000002</v>
      </c>
      <c r="O268" s="278">
        <v>29.067779999999999</v>
      </c>
      <c r="P268" s="278">
        <v>81.316270000000003</v>
      </c>
      <c r="Q268" s="278">
        <v>124.54716999999999</v>
      </c>
      <c r="R268" s="278">
        <v>2.47105</v>
      </c>
      <c r="S268" s="278">
        <v>3478.42902</v>
      </c>
      <c r="U268" s="278">
        <v>3075.8690499999998</v>
      </c>
      <c r="V268" s="278">
        <v>0</v>
      </c>
      <c r="W268" s="278">
        <v>0</v>
      </c>
      <c r="X268" s="278">
        <v>402.55996999999996</v>
      </c>
      <c r="Y268" s="278">
        <v>0</v>
      </c>
      <c r="Z268" s="278">
        <v>0</v>
      </c>
      <c r="AA268" s="278">
        <v>0</v>
      </c>
      <c r="AB268" s="278">
        <v>402.55996999999996</v>
      </c>
      <c r="AD268" s="278">
        <v>7106.4411799999998</v>
      </c>
      <c r="AE268" s="157">
        <v>3352.3367000000003</v>
      </c>
      <c r="AF268" s="184">
        <v>-126.09232</v>
      </c>
      <c r="AG268" s="278">
        <v>-3320.7436699999998</v>
      </c>
      <c r="AH268" s="278">
        <v>0</v>
      </c>
      <c r="AI268" s="184">
        <v>1317.8313700000001</v>
      </c>
      <c r="AJ268" s="278">
        <v>3832.4200499999993</v>
      </c>
      <c r="AL268" s="278">
        <v>17576.706910000001</v>
      </c>
      <c r="AM268" s="184">
        <v>10.017370000000001</v>
      </c>
      <c r="AN268" s="278">
        <v>-4201.7227699999994</v>
      </c>
      <c r="AO268" s="355">
        <v>12533</v>
      </c>
      <c r="AP268" s="344">
        <v>8.8600000000000012</v>
      </c>
      <c r="AQ268" s="462"/>
      <c r="AS268" s="469">
        <v>8449.5408200000002</v>
      </c>
      <c r="AT268" s="278">
        <v>40164.187149999998</v>
      </c>
      <c r="AU268" s="464"/>
      <c r="AV268" s="346">
        <v>25801.10195</v>
      </c>
      <c r="AW268" s="346">
        <v>2557.5847000000003</v>
      </c>
      <c r="AX268" s="346">
        <v>2895.8184500000002</v>
      </c>
      <c r="AY268" s="346">
        <v>31254.505100000002</v>
      </c>
      <c r="AZ268" s="346">
        <v>8948.9699999999993</v>
      </c>
      <c r="BA268" s="278">
        <v>66.260179999999991</v>
      </c>
      <c r="BB268" s="345">
        <v>362.16043999999999</v>
      </c>
      <c r="BC268" s="278">
        <v>109.07785000000001</v>
      </c>
      <c r="BD268" s="278">
        <v>4.2318800000000003</v>
      </c>
      <c r="BE268" s="346">
        <v>8297.77448</v>
      </c>
      <c r="BG268" s="343">
        <v>3372.3887799999998</v>
      </c>
      <c r="BH268" s="346">
        <v>0</v>
      </c>
      <c r="BI268" s="343">
        <v>0</v>
      </c>
      <c r="BJ268" s="346">
        <v>4925.3856999999998</v>
      </c>
      <c r="BK268" s="343">
        <v>0</v>
      </c>
      <c r="BL268" s="343">
        <v>0</v>
      </c>
      <c r="BM268" s="343">
        <v>0</v>
      </c>
      <c r="BN268" s="346">
        <v>4925.3856999999998</v>
      </c>
      <c r="BP268" s="346">
        <v>12031.826880000001</v>
      </c>
      <c r="BQ268" s="318">
        <v>8281.0956600000009</v>
      </c>
      <c r="BR268" s="278">
        <v>-16.678819999999998</v>
      </c>
      <c r="BS268" s="475">
        <v>-4751.3598200000006</v>
      </c>
      <c r="BT268" s="278">
        <v>90</v>
      </c>
      <c r="BU268" s="278">
        <v>20.132999999999999</v>
      </c>
      <c r="BV268" s="345">
        <v>5025.6378800000002</v>
      </c>
      <c r="BX268" s="278">
        <v>16025.836949999999</v>
      </c>
      <c r="BY268" s="483">
        <v>9.5968999999999998</v>
      </c>
      <c r="BZ268" s="483">
        <v>-1550.86996</v>
      </c>
      <c r="CA268" s="260"/>
      <c r="CB268" s="347">
        <v>8.9</v>
      </c>
      <c r="CC268" s="486">
        <f t="shared" si="4"/>
        <v>8.9</v>
      </c>
      <c r="CD268" s="287"/>
      <c r="CE268" s="278"/>
      <c r="CF268" s="268"/>
      <c r="CI268" s="158">
        <v>0</v>
      </c>
      <c r="CJ268" s="343">
        <v>7222.6863968537273</v>
      </c>
      <c r="CK268" s="343">
        <v>8380.8992000329235</v>
      </c>
      <c r="CL268" s="343">
        <v>8634.3819192784631</v>
      </c>
      <c r="CM268" s="487">
        <v>8785.103160856841</v>
      </c>
      <c r="CN268" s="487">
        <v>9888.2515431172669</v>
      </c>
      <c r="CO268" s="495">
        <v>-144.07300000000001</v>
      </c>
      <c r="CP268" s="299"/>
      <c r="CQ268" s="489">
        <v>0</v>
      </c>
      <c r="CR268" s="489">
        <v>0</v>
      </c>
    </row>
    <row r="269" spans="1:96" x14ac:dyDescent="0.2">
      <c r="A269" s="154">
        <v>887</v>
      </c>
      <c r="B269" s="156" t="s">
        <v>292</v>
      </c>
      <c r="C269" s="337">
        <v>4569</v>
      </c>
      <c r="D269" s="276">
        <v>22</v>
      </c>
      <c r="E269" s="185"/>
      <c r="G269" s="278">
        <v>6278.5545499999998</v>
      </c>
      <c r="H269" s="278">
        <v>39307.648399999998</v>
      </c>
      <c r="I269" s="278"/>
      <c r="J269" s="278">
        <v>14454.303089999999</v>
      </c>
      <c r="K269" s="278">
        <v>1351.54395</v>
      </c>
      <c r="L269" s="278">
        <v>1763.80142</v>
      </c>
      <c r="M269" s="278">
        <v>17569.64846</v>
      </c>
      <c r="N269" s="278">
        <v>16252.222</v>
      </c>
      <c r="O269" s="278">
        <v>49.746310000000001</v>
      </c>
      <c r="P269" s="278">
        <v>202.09356</v>
      </c>
      <c r="Q269" s="278">
        <v>236.17202</v>
      </c>
      <c r="R269" s="278">
        <v>205.08661999999998</v>
      </c>
      <c r="S269" s="278">
        <v>671.51476000000002</v>
      </c>
      <c r="U269" s="278">
        <v>1378.4769899999999</v>
      </c>
      <c r="V269" s="278">
        <v>115.5637</v>
      </c>
      <c r="W269" s="278">
        <v>0</v>
      </c>
      <c r="X269" s="278">
        <v>-591.39853000000005</v>
      </c>
      <c r="Y269" s="278">
        <v>0</v>
      </c>
      <c r="Z269" s="278">
        <v>0</v>
      </c>
      <c r="AA269" s="278">
        <v>0</v>
      </c>
      <c r="AB269" s="278">
        <v>-591.39853000000005</v>
      </c>
      <c r="AD269" s="278">
        <v>-67.226970000000037</v>
      </c>
      <c r="AE269" s="157">
        <v>785.62860999999998</v>
      </c>
      <c r="AF269" s="184">
        <v>-1.4498499999999999</v>
      </c>
      <c r="AG269" s="278">
        <v>-1434.75622</v>
      </c>
      <c r="AH269" s="278">
        <v>10.902239999999999</v>
      </c>
      <c r="AI269" s="184">
        <v>102.10543</v>
      </c>
      <c r="AJ269" s="278">
        <v>1834.98081</v>
      </c>
      <c r="AL269" s="278">
        <v>10589.672</v>
      </c>
      <c r="AM269" s="184">
        <v>20</v>
      </c>
      <c r="AN269" s="278">
        <v>-1007.224</v>
      </c>
      <c r="AO269" s="355">
        <v>4568</v>
      </c>
      <c r="AP269" s="344">
        <v>9.36</v>
      </c>
      <c r="AQ269" s="462"/>
      <c r="AS269" s="469">
        <v>3099.9298900000003</v>
      </c>
      <c r="AT269" s="278">
        <v>14665.063980000001</v>
      </c>
      <c r="AU269" s="464"/>
      <c r="AV269" s="346">
        <v>6971.0689199999997</v>
      </c>
      <c r="AW269" s="346">
        <v>840.54543999999999</v>
      </c>
      <c r="AX269" s="346">
        <v>1773.8061399999999</v>
      </c>
      <c r="AY269" s="346">
        <v>9585.4205000000002</v>
      </c>
      <c r="AZ269" s="346">
        <v>3076.5529999999999</v>
      </c>
      <c r="BA269" s="278">
        <v>313.56157000000002</v>
      </c>
      <c r="BB269" s="345">
        <v>487.89607000000001</v>
      </c>
      <c r="BC269" s="278">
        <v>196.63240999999999</v>
      </c>
      <c r="BD269" s="278">
        <v>174.12734</v>
      </c>
      <c r="BE269" s="346">
        <v>945.00997999999993</v>
      </c>
      <c r="BG269" s="343">
        <v>1287.8723400000001</v>
      </c>
      <c r="BH269" s="343">
        <v>0</v>
      </c>
      <c r="BI269" s="343">
        <v>0</v>
      </c>
      <c r="BJ269" s="346">
        <v>-342.86235999999997</v>
      </c>
      <c r="BK269" s="343">
        <v>0</v>
      </c>
      <c r="BL269" s="343">
        <v>0</v>
      </c>
      <c r="BM269" s="343">
        <v>0</v>
      </c>
      <c r="BN269" s="346">
        <v>-342.86235999999997</v>
      </c>
      <c r="BP269" s="346">
        <v>-410.08932999999996</v>
      </c>
      <c r="BQ269" s="318">
        <v>1000.5052800000001</v>
      </c>
      <c r="BR269" s="278">
        <v>55.4953</v>
      </c>
      <c r="BS269" s="475">
        <v>-692.63918999999999</v>
      </c>
      <c r="BT269" s="278">
        <v>35.805999999999997</v>
      </c>
      <c r="BU269" s="278">
        <v>33.6</v>
      </c>
      <c r="BV269" s="345">
        <v>1525.59339</v>
      </c>
      <c r="BX269" s="278">
        <v>10982.448</v>
      </c>
      <c r="BY269" s="483">
        <v>204</v>
      </c>
      <c r="BZ269" s="483">
        <v>392.77600000000001</v>
      </c>
      <c r="CA269" s="260"/>
      <c r="CB269" s="347">
        <v>10.299999999999999</v>
      </c>
      <c r="CC269" s="486">
        <f t="shared" si="4"/>
        <v>10.299999999999999</v>
      </c>
      <c r="CD269" s="287"/>
      <c r="CE269" s="278"/>
      <c r="CF269" s="268"/>
      <c r="CI269" s="158">
        <v>800</v>
      </c>
      <c r="CJ269" s="343">
        <v>2395.2582520512501</v>
      </c>
      <c r="CK269" s="343">
        <v>2981.3924054705667</v>
      </c>
      <c r="CL269" s="343">
        <v>3146.8214926596074</v>
      </c>
      <c r="CM269" s="487">
        <v>3262.9727047575107</v>
      </c>
      <c r="CN269" s="487">
        <v>3742.6441703367186</v>
      </c>
      <c r="CO269" s="495">
        <v>-259.10500000000002</v>
      </c>
      <c r="CP269" s="299"/>
      <c r="CQ269" s="489">
        <v>0</v>
      </c>
      <c r="CR269" s="489">
        <v>0</v>
      </c>
    </row>
    <row r="270" spans="1:96" x14ac:dyDescent="0.2">
      <c r="A270" s="154">
        <v>889</v>
      </c>
      <c r="B270" s="156" t="s">
        <v>293</v>
      </c>
      <c r="C270" s="337">
        <v>2523</v>
      </c>
      <c r="D270" s="276">
        <v>20.5</v>
      </c>
      <c r="E270" s="185"/>
      <c r="G270" s="278">
        <v>3823.9544799999999</v>
      </c>
      <c r="H270" s="278">
        <v>25403.09765</v>
      </c>
      <c r="I270" s="278"/>
      <c r="J270" s="278">
        <v>7322.6714599999996</v>
      </c>
      <c r="K270" s="278">
        <v>1317.7551599999999</v>
      </c>
      <c r="L270" s="278">
        <v>3048.16165</v>
      </c>
      <c r="M270" s="278">
        <v>11688.58827</v>
      </c>
      <c r="N270" s="278">
        <v>12634.256599999999</v>
      </c>
      <c r="O270" s="278">
        <v>26.708819999999999</v>
      </c>
      <c r="P270" s="278">
        <v>87.609560000000002</v>
      </c>
      <c r="Q270" s="278">
        <v>7.8074500000000002</v>
      </c>
      <c r="R270" s="278">
        <v>20.133389999999999</v>
      </c>
      <c r="S270" s="278">
        <v>2670.4750199999999</v>
      </c>
      <c r="U270" s="278">
        <v>1653.88004</v>
      </c>
      <c r="V270" s="278">
        <v>0</v>
      </c>
      <c r="W270" s="278">
        <v>0</v>
      </c>
      <c r="X270" s="278">
        <v>1016.59498</v>
      </c>
      <c r="Y270" s="278">
        <v>-33.194449999999996</v>
      </c>
      <c r="Z270" s="278">
        <v>900</v>
      </c>
      <c r="AA270" s="278">
        <v>-40.856279999999998</v>
      </c>
      <c r="AB270" s="278">
        <v>190.64570999999998</v>
      </c>
      <c r="AD270" s="278">
        <v>5980.1378700000005</v>
      </c>
      <c r="AE270" s="157">
        <v>2621.6279100000002</v>
      </c>
      <c r="AF270" s="184">
        <v>-48.847110000000001</v>
      </c>
      <c r="AG270" s="278">
        <v>-2037.06178</v>
      </c>
      <c r="AH270" s="278">
        <v>492.91990999999996</v>
      </c>
      <c r="AI270" s="184">
        <v>78.242000000000004</v>
      </c>
      <c r="AJ270" s="278">
        <v>4397.5228499999994</v>
      </c>
      <c r="AL270" s="278">
        <v>11600.426750000001</v>
      </c>
      <c r="AM270" s="184">
        <v>1874.20902</v>
      </c>
      <c r="AN270" s="278">
        <v>-1257.27692</v>
      </c>
      <c r="AO270" s="355">
        <v>2491</v>
      </c>
      <c r="AP270" s="344">
        <v>7.86</v>
      </c>
      <c r="AQ270" s="462"/>
      <c r="AS270" s="469">
        <v>3308.43057</v>
      </c>
      <c r="AT270" s="278">
        <v>13794.22464</v>
      </c>
      <c r="AU270" s="464"/>
      <c r="AV270" s="346">
        <v>3157.8669599999998</v>
      </c>
      <c r="AW270" s="346">
        <v>828.15025000000003</v>
      </c>
      <c r="AX270" s="346">
        <v>3184.38625</v>
      </c>
      <c r="AY270" s="346">
        <v>7170.4034599999995</v>
      </c>
      <c r="AZ270" s="346">
        <v>5323.4219999999996</v>
      </c>
      <c r="BA270" s="278">
        <v>126.73341000000001</v>
      </c>
      <c r="BB270" s="345">
        <v>92.889619999999994</v>
      </c>
      <c r="BC270" s="278">
        <v>17.55171</v>
      </c>
      <c r="BD270" s="278">
        <v>51.718789999999998</v>
      </c>
      <c r="BE270" s="346">
        <v>2007.7081000000001</v>
      </c>
      <c r="BG270" s="343">
        <v>1214.6948300000001</v>
      </c>
      <c r="BH270" s="346">
        <v>0</v>
      </c>
      <c r="BI270" s="343">
        <v>0</v>
      </c>
      <c r="BJ270" s="346">
        <v>793.01327000000003</v>
      </c>
      <c r="BK270" s="346">
        <v>-69.30556</v>
      </c>
      <c r="BL270" s="343">
        <v>286.45746999999994</v>
      </c>
      <c r="BM270" s="346">
        <v>0</v>
      </c>
      <c r="BN270" s="346">
        <v>575.86135999999999</v>
      </c>
      <c r="BP270" s="346">
        <v>6555.9992300000004</v>
      </c>
      <c r="BQ270" s="318">
        <v>1981.8081000000002</v>
      </c>
      <c r="BR270" s="278">
        <v>-25.9</v>
      </c>
      <c r="BS270" s="475">
        <v>-2611.33977</v>
      </c>
      <c r="BT270" s="278">
        <v>754.80064000000004</v>
      </c>
      <c r="BU270" s="278">
        <v>889.35568000000001</v>
      </c>
      <c r="BV270" s="345">
        <v>5320.6252999999997</v>
      </c>
      <c r="BX270" s="278">
        <v>10393.14983</v>
      </c>
      <c r="BY270" s="483">
        <v>41.179410000000004</v>
      </c>
      <c r="BZ270" s="483">
        <v>-1207.27692</v>
      </c>
      <c r="CA270" s="260"/>
      <c r="CB270" s="347">
        <v>8.4</v>
      </c>
      <c r="CC270" s="486">
        <f t="shared" si="4"/>
        <v>8.4</v>
      </c>
      <c r="CD270" s="287"/>
      <c r="CE270" s="278"/>
      <c r="CF270" s="268"/>
      <c r="CI270" s="158">
        <v>0</v>
      </c>
      <c r="CJ270" s="343">
        <v>5130.7711323920485</v>
      </c>
      <c r="CK270" s="343">
        <v>5461.4504379027658</v>
      </c>
      <c r="CL270" s="343">
        <v>5490.1471512013868</v>
      </c>
      <c r="CM270" s="487">
        <v>5572.220723541207</v>
      </c>
      <c r="CN270" s="487">
        <v>5946.2842892489161</v>
      </c>
      <c r="CO270" s="495">
        <v>256.48899999999998</v>
      </c>
      <c r="CP270" s="299"/>
      <c r="CQ270" s="489">
        <v>0</v>
      </c>
      <c r="CR270" s="489">
        <v>0</v>
      </c>
    </row>
    <row r="271" spans="1:96" x14ac:dyDescent="0.2">
      <c r="A271" s="154">
        <v>890</v>
      </c>
      <c r="B271" s="156" t="s">
        <v>294</v>
      </c>
      <c r="C271" s="337">
        <v>1180</v>
      </c>
      <c r="D271" s="276">
        <v>21</v>
      </c>
      <c r="E271" s="185"/>
      <c r="G271" s="278">
        <v>4002.5982300000001</v>
      </c>
      <c r="H271" s="278">
        <v>16477.844509999999</v>
      </c>
      <c r="I271" s="278"/>
      <c r="J271" s="278">
        <v>4159.6291700000002</v>
      </c>
      <c r="K271" s="278">
        <v>182.09866</v>
      </c>
      <c r="L271" s="278">
        <v>659.32127000000003</v>
      </c>
      <c r="M271" s="278">
        <v>5001.0490999999993</v>
      </c>
      <c r="N271" s="278">
        <v>8404.5480000000007</v>
      </c>
      <c r="O271" s="278">
        <v>9.8201200000000011</v>
      </c>
      <c r="P271" s="278">
        <v>89.752289999999988</v>
      </c>
      <c r="Q271" s="278">
        <v>163.00879999999998</v>
      </c>
      <c r="R271" s="278">
        <v>17.695080000000001</v>
      </c>
      <c r="S271" s="278">
        <v>995.73236999999995</v>
      </c>
      <c r="U271" s="278">
        <v>681.77719999999999</v>
      </c>
      <c r="V271" s="278">
        <v>0</v>
      </c>
      <c r="W271" s="278">
        <v>0</v>
      </c>
      <c r="X271" s="278">
        <v>313.95517000000001</v>
      </c>
      <c r="Y271" s="278">
        <v>0</v>
      </c>
      <c r="Z271" s="278">
        <v>0</v>
      </c>
      <c r="AA271" s="278">
        <v>0</v>
      </c>
      <c r="AB271" s="278">
        <v>313.95517000000001</v>
      </c>
      <c r="AD271" s="278">
        <v>4944.4825799999999</v>
      </c>
      <c r="AE271" s="157">
        <v>995.73236999999995</v>
      </c>
      <c r="AF271" s="184">
        <v>0</v>
      </c>
      <c r="AG271" s="278">
        <v>-1074.0418300000001</v>
      </c>
      <c r="AH271" s="278">
        <v>282.26400000000001</v>
      </c>
      <c r="AI271" s="184">
        <v>57.76</v>
      </c>
      <c r="AJ271" s="278">
        <v>768.46129000000008</v>
      </c>
      <c r="AL271" s="278">
        <v>11325.17116</v>
      </c>
      <c r="AM271" s="184">
        <v>53.220359999999999</v>
      </c>
      <c r="AN271" s="278">
        <v>-5.6129799999999994</v>
      </c>
      <c r="AO271" s="355">
        <v>1139</v>
      </c>
      <c r="AP271" s="344">
        <v>8.36</v>
      </c>
      <c r="AQ271" s="462"/>
      <c r="AS271" s="469">
        <v>3388.6867099999999</v>
      </c>
      <c r="AT271" s="278">
        <v>8490.6962899999999</v>
      </c>
      <c r="AU271" s="464"/>
      <c r="AV271" s="346">
        <v>2060.7739999999999</v>
      </c>
      <c r="AW271" s="346">
        <v>120.58344</v>
      </c>
      <c r="AX271" s="346">
        <v>772.57511999999997</v>
      </c>
      <c r="AY271" s="346">
        <v>2953.9325600000002</v>
      </c>
      <c r="AZ271" s="346">
        <v>3860.1149999999998</v>
      </c>
      <c r="BA271" s="278">
        <v>20.87462</v>
      </c>
      <c r="BB271" s="345">
        <v>134.69459000000001</v>
      </c>
      <c r="BC271" s="278">
        <v>26.948520000000002</v>
      </c>
      <c r="BD271" s="278">
        <v>5.5938299999999996</v>
      </c>
      <c r="BE271" s="346">
        <v>1619.5726999999999</v>
      </c>
      <c r="BG271" s="343">
        <v>781.87801999999999</v>
      </c>
      <c r="BH271" s="343">
        <v>0</v>
      </c>
      <c r="BI271" s="343">
        <v>0</v>
      </c>
      <c r="BJ271" s="346">
        <v>837.69468000000006</v>
      </c>
      <c r="BK271" s="343">
        <v>-21.825500000000002</v>
      </c>
      <c r="BL271" s="343">
        <v>0</v>
      </c>
      <c r="BM271" s="343">
        <v>0</v>
      </c>
      <c r="BN271" s="346">
        <v>859.5201800000001</v>
      </c>
      <c r="BP271" s="346">
        <v>5804.0027600000003</v>
      </c>
      <c r="BQ271" s="318">
        <v>1614.0308</v>
      </c>
      <c r="BR271" s="278">
        <v>-5.5419</v>
      </c>
      <c r="BS271" s="475">
        <v>205.01405</v>
      </c>
      <c r="BT271" s="278">
        <v>17.513639999999999</v>
      </c>
      <c r="BU271" s="278">
        <v>5.5419</v>
      </c>
      <c r="BV271" s="345">
        <v>2174.2600200000002</v>
      </c>
      <c r="BX271" s="278">
        <v>10836.056079999998</v>
      </c>
      <c r="BY271" s="483">
        <v>1.33684</v>
      </c>
      <c r="BZ271" s="483">
        <v>1483.5021000000002</v>
      </c>
      <c r="CA271" s="260"/>
      <c r="CB271" s="347">
        <v>8.4</v>
      </c>
      <c r="CC271" s="486">
        <f t="shared" si="4"/>
        <v>8.4</v>
      </c>
      <c r="CD271" s="287"/>
      <c r="CE271" s="278"/>
      <c r="CF271" s="268"/>
      <c r="CG271" s="266"/>
      <c r="CI271" s="158">
        <v>800</v>
      </c>
      <c r="CJ271" s="343">
        <v>3354.3531591554711</v>
      </c>
      <c r="CK271" s="343">
        <v>3241.6891464305804</v>
      </c>
      <c r="CL271" s="343">
        <v>3215.1494488689018</v>
      </c>
      <c r="CM271" s="487">
        <v>3308.2277665826755</v>
      </c>
      <c r="CN271" s="487">
        <v>3417.1592045297334</v>
      </c>
      <c r="CO271" s="495">
        <v>433.94499999999999</v>
      </c>
      <c r="CP271" s="299"/>
      <c r="CQ271" s="489">
        <v>0</v>
      </c>
      <c r="CR271" s="489">
        <v>0</v>
      </c>
    </row>
    <row r="272" spans="1:96" x14ac:dyDescent="0.2">
      <c r="A272" s="154">
        <v>892</v>
      </c>
      <c r="B272" s="156" t="s">
        <v>295</v>
      </c>
      <c r="C272" s="337">
        <v>3592</v>
      </c>
      <c r="D272" s="276">
        <v>21.499999999999996</v>
      </c>
      <c r="E272" s="185"/>
      <c r="G272" s="278">
        <v>3492.0475699999997</v>
      </c>
      <c r="H272" s="278">
        <v>26804.38679</v>
      </c>
      <c r="I272" s="278"/>
      <c r="J272" s="278">
        <v>11473.597699999998</v>
      </c>
      <c r="K272" s="278">
        <v>993.10425999999995</v>
      </c>
      <c r="L272" s="278">
        <v>771.57362000000001</v>
      </c>
      <c r="M272" s="278">
        <v>13238.27558</v>
      </c>
      <c r="N272" s="278">
        <v>10831.575000000001</v>
      </c>
      <c r="O272" s="278">
        <v>3.7542399999999998</v>
      </c>
      <c r="P272" s="278">
        <v>116.77623</v>
      </c>
      <c r="Q272" s="278">
        <v>182.3373</v>
      </c>
      <c r="R272" s="278">
        <v>252.52314000000001</v>
      </c>
      <c r="S272" s="278">
        <v>574.30353000000002</v>
      </c>
      <c r="U272" s="278">
        <v>1357.36016</v>
      </c>
      <c r="V272" s="278">
        <v>0</v>
      </c>
      <c r="W272" s="278">
        <v>0</v>
      </c>
      <c r="X272" s="278">
        <v>-783.05663000000004</v>
      </c>
      <c r="Y272" s="278">
        <v>-14.96706</v>
      </c>
      <c r="Z272" s="278">
        <v>0</v>
      </c>
      <c r="AA272" s="278">
        <v>0</v>
      </c>
      <c r="AB272" s="278">
        <v>-768.08956999999998</v>
      </c>
      <c r="AD272" s="278">
        <v>1244.19056</v>
      </c>
      <c r="AE272" s="157">
        <v>500.09174999999999</v>
      </c>
      <c r="AF272" s="184">
        <v>-74.211780000000005</v>
      </c>
      <c r="AG272" s="278">
        <v>-1011.32175</v>
      </c>
      <c r="AH272" s="278">
        <v>32</v>
      </c>
      <c r="AI272" s="184">
        <v>163.82</v>
      </c>
      <c r="AJ272" s="278">
        <v>5308.5199699999994</v>
      </c>
      <c r="AL272" s="278">
        <v>14173.966630000001</v>
      </c>
      <c r="AM272" s="184">
        <v>0</v>
      </c>
      <c r="AN272" s="278">
        <v>-836.13533999999993</v>
      </c>
      <c r="AO272" s="355">
        <v>3615</v>
      </c>
      <c r="AP272" s="344">
        <v>8.86</v>
      </c>
      <c r="AQ272" s="462"/>
      <c r="AS272" s="469">
        <v>2850.9873199999997</v>
      </c>
      <c r="AT272" s="278">
        <v>15289.59756</v>
      </c>
      <c r="AU272" s="464"/>
      <c r="AV272" s="346">
        <v>5487.5704599999999</v>
      </c>
      <c r="AW272" s="346">
        <v>580.58769999999993</v>
      </c>
      <c r="AX272" s="346">
        <v>762.42399</v>
      </c>
      <c r="AY272" s="346">
        <v>6830.5821500000002</v>
      </c>
      <c r="AZ272" s="346">
        <v>6447.53</v>
      </c>
      <c r="BA272" s="278">
        <v>138.57075</v>
      </c>
      <c r="BB272" s="345">
        <v>351.75315999999998</v>
      </c>
      <c r="BC272" s="278">
        <v>228.20463000000001</v>
      </c>
      <c r="BD272" s="278">
        <v>266.43248999999997</v>
      </c>
      <c r="BE272" s="346">
        <v>588.09163999999998</v>
      </c>
      <c r="BG272" s="343">
        <v>1122.8764900000001</v>
      </c>
      <c r="BH272" s="343">
        <v>0</v>
      </c>
      <c r="BI272" s="343">
        <v>525.10222999999996</v>
      </c>
      <c r="BJ272" s="346">
        <v>-1059.88708</v>
      </c>
      <c r="BK272" s="343">
        <v>-14.96706</v>
      </c>
      <c r="BL272" s="343">
        <v>0</v>
      </c>
      <c r="BM272" s="343">
        <v>0</v>
      </c>
      <c r="BN272" s="346">
        <v>-1044.92002</v>
      </c>
      <c r="BP272" s="346">
        <v>199.27054999999996</v>
      </c>
      <c r="BQ272" s="318">
        <v>47.989419999999996</v>
      </c>
      <c r="BR272" s="278">
        <v>-15</v>
      </c>
      <c r="BS272" s="475">
        <v>-1486.7909999999999</v>
      </c>
      <c r="BT272" s="278">
        <v>35</v>
      </c>
      <c r="BU272" s="278">
        <v>221.16300000000001</v>
      </c>
      <c r="BV272" s="345">
        <v>5621.6216199999999</v>
      </c>
      <c r="BX272" s="278">
        <v>15825.738959999999</v>
      </c>
      <c r="BY272" s="483">
        <v>74.863369999999989</v>
      </c>
      <c r="BZ272" s="483">
        <v>1676.0096100000001</v>
      </c>
      <c r="CA272" s="260"/>
      <c r="CB272" s="347">
        <v>9</v>
      </c>
      <c r="CC272" s="486">
        <f t="shared" si="4"/>
        <v>9</v>
      </c>
      <c r="CD272" s="287"/>
      <c r="CE272" s="278"/>
      <c r="CF272" s="268"/>
      <c r="CI272" s="158">
        <v>0</v>
      </c>
      <c r="CJ272" s="343">
        <v>6510.5077606292198</v>
      </c>
      <c r="CK272" s="343">
        <v>6989.2232535113199</v>
      </c>
      <c r="CL272" s="343">
        <v>7119.8217453362504</v>
      </c>
      <c r="CM272" s="487">
        <v>7036.5832390049691</v>
      </c>
      <c r="CN272" s="487">
        <v>7324.8317174879539</v>
      </c>
      <c r="CO272" s="495">
        <v>-536.16300000000001</v>
      </c>
      <c r="CP272" s="299"/>
      <c r="CQ272" s="489">
        <v>0</v>
      </c>
      <c r="CR272" s="489">
        <v>0</v>
      </c>
    </row>
    <row r="273" spans="1:96" x14ac:dyDescent="0.2">
      <c r="A273" s="154">
        <v>893</v>
      </c>
      <c r="B273" s="156" t="s">
        <v>296</v>
      </c>
      <c r="C273" s="337">
        <v>7434</v>
      </c>
      <c r="D273" s="276">
        <v>21.25</v>
      </c>
      <c r="E273" s="185"/>
      <c r="G273" s="278">
        <v>6072.7813900000001</v>
      </c>
      <c r="H273" s="278">
        <v>55476.665919999999</v>
      </c>
      <c r="I273" s="278"/>
      <c r="J273" s="278">
        <v>24440.532760000002</v>
      </c>
      <c r="K273" s="278">
        <v>3743.0999900000002</v>
      </c>
      <c r="L273" s="278">
        <v>2860.4391900000001</v>
      </c>
      <c r="M273" s="278">
        <v>31044.071940000002</v>
      </c>
      <c r="N273" s="278">
        <v>24481.077000000001</v>
      </c>
      <c r="O273" s="278">
        <v>213.42314000000002</v>
      </c>
      <c r="P273" s="278">
        <v>212.96708999999998</v>
      </c>
      <c r="Q273" s="278">
        <v>311.58426000000003</v>
      </c>
      <c r="R273" s="278">
        <v>7.9501400000000002</v>
      </c>
      <c r="S273" s="278">
        <v>6449.0505000000003</v>
      </c>
      <c r="U273" s="278">
        <v>3052.3261899999998</v>
      </c>
      <c r="V273" s="278">
        <v>0</v>
      </c>
      <c r="W273" s="278">
        <v>0</v>
      </c>
      <c r="X273" s="278">
        <v>3396.7243100000001</v>
      </c>
      <c r="Y273" s="278">
        <v>0</v>
      </c>
      <c r="Z273" s="278">
        <v>234.71370000000002</v>
      </c>
      <c r="AA273" s="278">
        <v>0</v>
      </c>
      <c r="AB273" s="278">
        <v>3162.0106099999998</v>
      </c>
      <c r="AD273" s="278">
        <v>12722.102879999999</v>
      </c>
      <c r="AE273" s="157">
        <v>0</v>
      </c>
      <c r="AF273" s="184">
        <v>0</v>
      </c>
      <c r="AG273" s="278">
        <v>-910.32528000000002</v>
      </c>
      <c r="AH273" s="278">
        <v>0</v>
      </c>
      <c r="AI273" s="184">
        <v>0</v>
      </c>
      <c r="AJ273" s="278">
        <v>0</v>
      </c>
      <c r="AL273" s="278">
        <v>40411.675999999999</v>
      </c>
      <c r="AM273" s="184">
        <v>415.87599999999998</v>
      </c>
      <c r="AN273" s="278">
        <v>-6276.6660000000002</v>
      </c>
      <c r="AO273" s="355">
        <v>7500</v>
      </c>
      <c r="AP273" s="344">
        <v>8.61</v>
      </c>
      <c r="AQ273" s="462"/>
      <c r="AS273" s="469">
        <v>5880.5574299999998</v>
      </c>
      <c r="AT273" s="278">
        <v>26397.021100000002</v>
      </c>
      <c r="AU273" s="464"/>
      <c r="AV273" s="346">
        <v>11888.540859999999</v>
      </c>
      <c r="AW273" s="346">
        <v>2380.7387999999996</v>
      </c>
      <c r="AX273" s="346">
        <v>3221.2912900000001</v>
      </c>
      <c r="AY273" s="346">
        <v>17490.570949999998</v>
      </c>
      <c r="AZ273" s="346">
        <v>8992.3430000000008</v>
      </c>
      <c r="BA273" s="278">
        <v>555.17646999999999</v>
      </c>
      <c r="BB273" s="345">
        <v>1078.1512600000001</v>
      </c>
      <c r="BC273" s="278">
        <v>248.15897000000001</v>
      </c>
      <c r="BD273" s="278">
        <v>4.2433300000000003</v>
      </c>
      <c r="BE273" s="346">
        <v>5705.1042400000006</v>
      </c>
      <c r="BG273" s="343">
        <v>2476.5020499999996</v>
      </c>
      <c r="BH273" s="343">
        <v>0</v>
      </c>
      <c r="BI273" s="343">
        <v>0</v>
      </c>
      <c r="BJ273" s="346">
        <v>3228.6021900000001</v>
      </c>
      <c r="BK273" s="346">
        <v>0</v>
      </c>
      <c r="BL273" s="343">
        <v>432.48271999999997</v>
      </c>
      <c r="BM273" s="343">
        <v>0</v>
      </c>
      <c r="BN273" s="346">
        <v>2796.1194700000001</v>
      </c>
      <c r="BP273" s="346">
        <v>15543.78088</v>
      </c>
      <c r="BQ273" s="318">
        <v>5272.6215199999997</v>
      </c>
      <c r="BR273" s="278">
        <v>-432.48271999999997</v>
      </c>
      <c r="BS273" s="475">
        <v>-3899.7792799999997</v>
      </c>
      <c r="BT273" s="278">
        <v>157.97300000000001</v>
      </c>
      <c r="BU273" s="278">
        <v>676.66700000000003</v>
      </c>
      <c r="BV273" s="345">
        <v>2223.11042</v>
      </c>
      <c r="BX273" s="278">
        <v>38735</v>
      </c>
      <c r="BY273" s="483">
        <v>-1182.37652</v>
      </c>
      <c r="BZ273" s="483">
        <v>-1676.6759999999999</v>
      </c>
      <c r="CA273" s="260"/>
      <c r="CB273" s="347">
        <v>8.6</v>
      </c>
      <c r="CC273" s="486">
        <f t="shared" si="4"/>
        <v>8.6</v>
      </c>
      <c r="CD273" s="287"/>
      <c r="CE273" s="278"/>
      <c r="CF273" s="268"/>
      <c r="CI273" s="158">
        <v>0</v>
      </c>
      <c r="CJ273" s="343">
        <v>9453.134807591885</v>
      </c>
      <c r="CK273" s="343">
        <v>9994.323595974316</v>
      </c>
      <c r="CL273" s="343">
        <v>9852.2493012091309</v>
      </c>
      <c r="CM273" s="487">
        <v>10233.850121886315</v>
      </c>
      <c r="CN273" s="487">
        <v>10743.826913971265</v>
      </c>
      <c r="CO273" s="495">
        <v>23.183</v>
      </c>
      <c r="CP273" s="299"/>
      <c r="CQ273" s="489">
        <v>23.695919999999997</v>
      </c>
      <c r="CR273" s="489">
        <v>17.71311</v>
      </c>
    </row>
    <row r="274" spans="1:96" x14ac:dyDescent="0.2">
      <c r="A274" s="154">
        <v>895</v>
      </c>
      <c r="B274" s="156" t="s">
        <v>297</v>
      </c>
      <c r="C274" s="337">
        <v>15092</v>
      </c>
      <c r="D274" s="276">
        <v>20.75</v>
      </c>
      <c r="E274" s="185"/>
      <c r="G274" s="278">
        <v>28159.631879999997</v>
      </c>
      <c r="H274" s="278">
        <v>127535.11833</v>
      </c>
      <c r="I274" s="278"/>
      <c r="J274" s="278">
        <v>59304.682719999997</v>
      </c>
      <c r="K274" s="278">
        <v>7306.2444400000004</v>
      </c>
      <c r="L274" s="278">
        <v>5571.8844100000006</v>
      </c>
      <c r="M274" s="278">
        <v>72182.811569999991</v>
      </c>
      <c r="N274" s="278">
        <v>33948.417000000001</v>
      </c>
      <c r="O274" s="278">
        <v>86.973789999999994</v>
      </c>
      <c r="P274" s="278">
        <v>307.05189000000001</v>
      </c>
      <c r="Q274" s="278">
        <v>1365.21612</v>
      </c>
      <c r="R274" s="278">
        <v>573.71291000000008</v>
      </c>
      <c r="S274" s="278">
        <v>8204.7442300000002</v>
      </c>
      <c r="U274" s="278">
        <v>9382.7073499999988</v>
      </c>
      <c r="V274" s="278">
        <v>0</v>
      </c>
      <c r="W274" s="278">
        <v>0</v>
      </c>
      <c r="X274" s="278">
        <v>-1177.9631200000001</v>
      </c>
      <c r="Y274" s="278">
        <v>-316.00314000000003</v>
      </c>
      <c r="Z274" s="278">
        <v>0</v>
      </c>
      <c r="AA274" s="278">
        <v>-1048.5140200000001</v>
      </c>
      <c r="AB274" s="278">
        <v>186.55404000000001</v>
      </c>
      <c r="AD274" s="278">
        <v>17816.27605</v>
      </c>
      <c r="AE274" s="157">
        <v>7588.4552899999999</v>
      </c>
      <c r="AF274" s="184">
        <v>-616.28893999999991</v>
      </c>
      <c r="AG274" s="278">
        <v>-23521.977609999998</v>
      </c>
      <c r="AH274" s="278">
        <v>533.92762000000005</v>
      </c>
      <c r="AI274" s="184">
        <v>714.74318000000005</v>
      </c>
      <c r="AJ274" s="278">
        <v>8415.3391199999987</v>
      </c>
      <c r="AL274" s="278">
        <v>55593.044780000011</v>
      </c>
      <c r="AM274" s="184">
        <v>164</v>
      </c>
      <c r="AN274" s="278">
        <v>11690.54329</v>
      </c>
      <c r="AO274" s="355">
        <v>14938</v>
      </c>
      <c r="AP274" s="344">
        <v>8.11</v>
      </c>
      <c r="AQ274" s="462"/>
      <c r="AS274" s="469">
        <v>15669.95091</v>
      </c>
      <c r="AT274" s="278">
        <v>51733.488859999998</v>
      </c>
      <c r="AU274" s="464"/>
      <c r="AV274" s="346">
        <v>27948.424660000001</v>
      </c>
      <c r="AW274" s="346">
        <v>5588.7334299999993</v>
      </c>
      <c r="AX274" s="346">
        <v>5740.5735100000002</v>
      </c>
      <c r="AY274" s="346">
        <v>39277.731599999999</v>
      </c>
      <c r="AZ274" s="346">
        <v>7303.5259999999998</v>
      </c>
      <c r="BA274" s="278">
        <v>124.30242999999999</v>
      </c>
      <c r="BB274" s="345">
        <v>586.47933999999998</v>
      </c>
      <c r="BC274" s="278">
        <v>1097.6481399999998</v>
      </c>
      <c r="BD274" s="278">
        <v>6.1452</v>
      </c>
      <c r="BE274" s="346">
        <v>11768.34347</v>
      </c>
      <c r="BG274" s="343">
        <v>6940.5024100000001</v>
      </c>
      <c r="BH274" s="343">
        <v>0</v>
      </c>
      <c r="BI274" s="343">
        <v>0</v>
      </c>
      <c r="BJ274" s="346">
        <v>4827.8410599999997</v>
      </c>
      <c r="BK274" s="346">
        <v>-297.03687000000002</v>
      </c>
      <c r="BL274" s="343">
        <v>0</v>
      </c>
      <c r="BM274" s="343">
        <v>21.097380000000001</v>
      </c>
      <c r="BN274" s="346">
        <v>5103.7805499999995</v>
      </c>
      <c r="BP274" s="346">
        <v>22920.05659</v>
      </c>
      <c r="BQ274" s="318">
        <v>11468.205800000002</v>
      </c>
      <c r="BR274" s="278">
        <v>-300.13765999999998</v>
      </c>
      <c r="BS274" s="475">
        <v>-19308.696319999999</v>
      </c>
      <c r="BT274" s="278">
        <v>911.34</v>
      </c>
      <c r="BU274" s="278">
        <v>445.71249</v>
      </c>
      <c r="BV274" s="345">
        <v>8777.082699999999</v>
      </c>
      <c r="BX274" s="278">
        <v>64225.346709999998</v>
      </c>
      <c r="BY274" s="483">
        <v>80</v>
      </c>
      <c r="BZ274" s="483">
        <v>8632.3019299999996</v>
      </c>
      <c r="CA274" s="260"/>
      <c r="CB274" s="347">
        <v>8.6</v>
      </c>
      <c r="CC274" s="486">
        <f t="shared" si="4"/>
        <v>8.6</v>
      </c>
      <c r="CD274" s="287"/>
      <c r="CE274" s="278"/>
      <c r="CF274" s="268"/>
      <c r="CI274" s="158">
        <v>1500</v>
      </c>
      <c r="CJ274" s="343">
        <v>6084.8718548746392</v>
      </c>
      <c r="CK274" s="343">
        <v>6815.0576722113101</v>
      </c>
      <c r="CL274" s="343">
        <v>4756.6971527511105</v>
      </c>
      <c r="CM274" s="487">
        <v>4767.7481865982809</v>
      </c>
      <c r="CN274" s="487">
        <v>5148.4310596694531</v>
      </c>
      <c r="CO274" s="495">
        <v>-1120.8440000000001</v>
      </c>
      <c r="CP274" s="299"/>
      <c r="CQ274" s="489">
        <v>877.577</v>
      </c>
      <c r="CR274" s="489">
        <v>621.29779000000008</v>
      </c>
    </row>
    <row r="275" spans="1:96" x14ac:dyDescent="0.2">
      <c r="A275" s="154">
        <v>785</v>
      </c>
      <c r="B275" s="156" t="s">
        <v>24</v>
      </c>
      <c r="C275" s="337">
        <v>2626</v>
      </c>
      <c r="D275" s="276">
        <v>21</v>
      </c>
      <c r="E275" s="185"/>
      <c r="G275" s="278">
        <v>2653.5400499999996</v>
      </c>
      <c r="H275" s="278">
        <v>26887.99754</v>
      </c>
      <c r="I275" s="278"/>
      <c r="J275" s="278">
        <v>7564.3256600000004</v>
      </c>
      <c r="K275" s="278">
        <v>1058.2102299999999</v>
      </c>
      <c r="L275" s="278">
        <v>3106.8975699999996</v>
      </c>
      <c r="M275" s="278">
        <v>11729.43346</v>
      </c>
      <c r="N275" s="278">
        <v>15215.691000000001</v>
      </c>
      <c r="O275" s="278">
        <v>25.664380000000001</v>
      </c>
      <c r="P275" s="278">
        <v>39.245489999999997</v>
      </c>
      <c r="Q275" s="278">
        <v>7.4810400000000001</v>
      </c>
      <c r="R275" s="278">
        <v>6.46244</v>
      </c>
      <c r="S275" s="278">
        <v>2705.4634000000001</v>
      </c>
      <c r="U275" s="278">
        <v>1148.35213</v>
      </c>
      <c r="V275" s="278">
        <v>0</v>
      </c>
      <c r="W275" s="278">
        <v>0</v>
      </c>
      <c r="X275" s="278">
        <v>1557.1112700000001</v>
      </c>
      <c r="Y275" s="278">
        <v>-385.80950000000001</v>
      </c>
      <c r="Z275" s="278">
        <v>0</v>
      </c>
      <c r="AA275" s="278">
        <v>0</v>
      </c>
      <c r="AB275" s="278">
        <v>1942.9207699999999</v>
      </c>
      <c r="AD275" s="278">
        <v>4888.7247699999998</v>
      </c>
      <c r="AE275" s="157">
        <v>0</v>
      </c>
      <c r="AF275" s="184">
        <v>-36.722370000000005</v>
      </c>
      <c r="AG275" s="278">
        <v>-1317.9491200000002</v>
      </c>
      <c r="AH275" s="278">
        <v>45.89087</v>
      </c>
      <c r="AI275" s="184">
        <v>71.717740000000006</v>
      </c>
      <c r="AJ275" s="278">
        <v>765.96212000000003</v>
      </c>
      <c r="AL275" s="278">
        <v>6475.6790000000001</v>
      </c>
      <c r="AM275" s="184">
        <v>0</v>
      </c>
      <c r="AN275" s="278">
        <v>0</v>
      </c>
      <c r="AO275" s="355">
        <v>2589</v>
      </c>
      <c r="AP275" s="344">
        <v>8.36</v>
      </c>
      <c r="AQ275" s="462"/>
      <c r="AS275" s="469">
        <v>2243.3396499999999</v>
      </c>
      <c r="AT275" s="278">
        <v>13149.88198</v>
      </c>
      <c r="AU275" s="464"/>
      <c r="AV275" s="346">
        <v>3829.982</v>
      </c>
      <c r="AW275" s="346">
        <v>591.58715000000007</v>
      </c>
      <c r="AX275" s="346">
        <v>4070.2150799999999</v>
      </c>
      <c r="AY275" s="346">
        <v>8491.7842300000011</v>
      </c>
      <c r="AZ275" s="346">
        <v>5191.018</v>
      </c>
      <c r="BA275" s="278">
        <v>103.35793</v>
      </c>
      <c r="BB275" s="345">
        <v>202.41300000000001</v>
      </c>
      <c r="BC275" s="278">
        <v>8.2458099999999988</v>
      </c>
      <c r="BD275" s="278">
        <v>5.70296</v>
      </c>
      <c r="BE275" s="346">
        <v>2685.3300800000002</v>
      </c>
      <c r="BG275" s="343">
        <v>1867.81106</v>
      </c>
      <c r="BH275" s="343">
        <v>0</v>
      </c>
      <c r="BI275" s="343">
        <v>0</v>
      </c>
      <c r="BJ275" s="346">
        <v>817.51902000000007</v>
      </c>
      <c r="BK275" s="343">
        <v>-44.349539999999998</v>
      </c>
      <c r="BL275" s="346">
        <v>202.37609</v>
      </c>
      <c r="BM275" s="343">
        <v>0</v>
      </c>
      <c r="BN275" s="346">
        <v>659.49247000000003</v>
      </c>
      <c r="BP275" s="346">
        <v>5548.2172399999999</v>
      </c>
      <c r="BQ275" s="318">
        <v>2482.9539900000004</v>
      </c>
      <c r="BR275" s="278">
        <v>-202.37609</v>
      </c>
      <c r="BS275" s="475">
        <v>-1823.4411100000002</v>
      </c>
      <c r="BT275" s="278">
        <v>127.15195</v>
      </c>
      <c r="BU275" s="278">
        <v>29.156860000000002</v>
      </c>
      <c r="BV275" s="345">
        <v>1978.09926</v>
      </c>
      <c r="BX275" s="278">
        <v>4965.527</v>
      </c>
      <c r="BY275" s="483">
        <v>9.5500000000000007</v>
      </c>
      <c r="BZ275" s="483">
        <v>-1510.152</v>
      </c>
      <c r="CA275" s="260"/>
      <c r="CB275" s="347">
        <v>8.3000000000000007</v>
      </c>
      <c r="CC275" s="486">
        <f t="shared" si="4"/>
        <v>8.3000000000000007</v>
      </c>
      <c r="CD275" s="287"/>
      <c r="CE275" s="278"/>
      <c r="CF275" s="268"/>
      <c r="CG275" s="266"/>
      <c r="CI275" s="158">
        <v>0</v>
      </c>
      <c r="CJ275" s="343">
        <v>5547.3742035128471</v>
      </c>
      <c r="CK275" s="343">
        <v>6089.6638201734377</v>
      </c>
      <c r="CL275" s="343">
        <v>5984.2586980572796</v>
      </c>
      <c r="CM275" s="487">
        <v>6000.0936854545089</v>
      </c>
      <c r="CN275" s="487">
        <v>6470.0515299741255</v>
      </c>
      <c r="CO275" s="495">
        <v>206.84800000000001</v>
      </c>
      <c r="CP275" s="299"/>
      <c r="CQ275" s="489">
        <v>7.3589399999999996</v>
      </c>
      <c r="CR275" s="489">
        <v>5.5823999999999998</v>
      </c>
    </row>
    <row r="276" spans="1:96" x14ac:dyDescent="0.2">
      <c r="A276" s="154">
        <v>905</v>
      </c>
      <c r="B276" s="156" t="s">
        <v>298</v>
      </c>
      <c r="C276" s="337">
        <v>67988</v>
      </c>
      <c r="D276" s="276">
        <v>21</v>
      </c>
      <c r="E276" s="185"/>
      <c r="G276" s="278">
        <v>93206.07987999999</v>
      </c>
      <c r="H276" s="278">
        <v>537592.35970000003</v>
      </c>
      <c r="I276" s="278"/>
      <c r="J276" s="278">
        <v>269625.09233999997</v>
      </c>
      <c r="K276" s="278">
        <v>37623.153100000003</v>
      </c>
      <c r="L276" s="278">
        <v>26237.714050000002</v>
      </c>
      <c r="M276" s="278">
        <v>333485.95949000004</v>
      </c>
      <c r="N276" s="278">
        <v>140151.304</v>
      </c>
      <c r="O276" s="278">
        <v>815.71480000000008</v>
      </c>
      <c r="P276" s="278">
        <v>1308.4192700000001</v>
      </c>
      <c r="Q276" s="278">
        <v>10359.75412</v>
      </c>
      <c r="R276" s="278">
        <v>1969.31421</v>
      </c>
      <c r="S276" s="278">
        <v>41591.740109999999</v>
      </c>
      <c r="U276" s="278">
        <v>32882.967469999996</v>
      </c>
      <c r="V276" s="278">
        <v>0</v>
      </c>
      <c r="W276" s="278">
        <v>0</v>
      </c>
      <c r="X276" s="278">
        <v>8708.772640000001</v>
      </c>
      <c r="Y276" s="278">
        <v>5227.05591</v>
      </c>
      <c r="Z276" s="278">
        <v>500</v>
      </c>
      <c r="AA276" s="278">
        <v>0</v>
      </c>
      <c r="AB276" s="278">
        <v>2981.7167300000001</v>
      </c>
      <c r="AD276" s="278">
        <v>12619.84346</v>
      </c>
      <c r="AE276" s="157">
        <v>36520.497459999999</v>
      </c>
      <c r="AF276" s="184">
        <v>-254.91758999999999</v>
      </c>
      <c r="AG276" s="278">
        <v>-55250.990239999999</v>
      </c>
      <c r="AH276" s="278">
        <v>3030.1551400000003</v>
      </c>
      <c r="AI276" s="184">
        <v>8674.7440999999999</v>
      </c>
      <c r="AJ276" s="278">
        <v>5920.7960899999998</v>
      </c>
      <c r="AL276" s="278">
        <v>326455.55255999998</v>
      </c>
      <c r="AM276" s="184">
        <v>-4934.02387</v>
      </c>
      <c r="AN276" s="278">
        <v>21827.889649999997</v>
      </c>
      <c r="AO276" s="355">
        <v>68956</v>
      </c>
      <c r="AP276" s="344">
        <v>8.36</v>
      </c>
      <c r="AQ276" s="462"/>
      <c r="AS276" s="469">
        <v>83574.496319999991</v>
      </c>
      <c r="AT276" s="278">
        <v>275637.71254000004</v>
      </c>
      <c r="AU276" s="464"/>
      <c r="AV276" s="346">
        <v>137754.39969999998</v>
      </c>
      <c r="AW276" s="346">
        <v>23709.776890000001</v>
      </c>
      <c r="AX276" s="346">
        <v>26676.945510000001</v>
      </c>
      <c r="AY276" s="346">
        <v>188141.12210000001</v>
      </c>
      <c r="AZ276" s="346">
        <v>49140.081180000001</v>
      </c>
      <c r="BA276" s="278">
        <v>1010.59738</v>
      </c>
      <c r="BB276" s="345">
        <v>7164.5625899999995</v>
      </c>
      <c r="BC276" s="278">
        <v>6696.5884800000003</v>
      </c>
      <c r="BD276" s="278">
        <v>92.055679999999995</v>
      </c>
      <c r="BE276" s="346">
        <v>47588.098969999999</v>
      </c>
      <c r="BG276" s="343">
        <v>33670.148070000003</v>
      </c>
      <c r="BH276" s="343">
        <v>0</v>
      </c>
      <c r="BI276" s="343">
        <v>0</v>
      </c>
      <c r="BJ276" s="346">
        <v>13917.9509</v>
      </c>
      <c r="BK276" s="346">
        <v>-378.98187000000001</v>
      </c>
      <c r="BL276" s="346">
        <v>-100</v>
      </c>
      <c r="BM276" s="346">
        <v>-31.223189999999999</v>
      </c>
      <c r="BN276" s="346">
        <v>14428.15596</v>
      </c>
      <c r="BP276" s="346">
        <v>22587.7431</v>
      </c>
      <c r="BQ276" s="318">
        <v>45485.82389</v>
      </c>
      <c r="BR276" s="278">
        <v>-2102.2749700000004</v>
      </c>
      <c r="BS276" s="475">
        <v>-51319.713060000002</v>
      </c>
      <c r="BT276" s="278">
        <v>434.72960999999998</v>
      </c>
      <c r="BU276" s="278">
        <v>3944.98252</v>
      </c>
      <c r="BV276" s="345">
        <v>16121.5872</v>
      </c>
      <c r="BX276" s="278">
        <v>352442.10354000004</v>
      </c>
      <c r="BY276" s="483">
        <v>534.90188000000001</v>
      </c>
      <c r="BZ276" s="483">
        <v>24878.747319999999</v>
      </c>
      <c r="CA276" s="260"/>
      <c r="CB276" s="347">
        <v>8.4</v>
      </c>
      <c r="CC276" s="486">
        <f t="shared" si="4"/>
        <v>8.4</v>
      </c>
      <c r="CD276" s="287"/>
      <c r="CE276" s="278"/>
      <c r="CF276" s="268"/>
      <c r="CI276" s="158">
        <v>0</v>
      </c>
      <c r="CJ276" s="343">
        <v>42261.480901268042</v>
      </c>
      <c r="CK276" s="343">
        <v>52055.349590862432</v>
      </c>
      <c r="CL276" s="343">
        <v>58130.900867326774</v>
      </c>
      <c r="CM276" s="487">
        <v>60159.790231282037</v>
      </c>
      <c r="CN276" s="487">
        <v>62837.577823452695</v>
      </c>
      <c r="CO276" s="495">
        <v>31371.333999999999</v>
      </c>
      <c r="CP276" s="299"/>
      <c r="CQ276" s="489">
        <v>4443.0209999999997</v>
      </c>
      <c r="CR276" s="489">
        <v>1919.54432</v>
      </c>
    </row>
    <row r="277" spans="1:96" x14ac:dyDescent="0.2">
      <c r="A277" s="154">
        <v>908</v>
      </c>
      <c r="B277" s="156" t="s">
        <v>299</v>
      </c>
      <c r="C277" s="337">
        <v>20703</v>
      </c>
      <c r="D277" s="276">
        <v>20.25</v>
      </c>
      <c r="E277" s="185"/>
      <c r="G277" s="278">
        <v>33513.673459999998</v>
      </c>
      <c r="H277" s="278">
        <v>172143.24825999999</v>
      </c>
      <c r="I277" s="278"/>
      <c r="J277" s="278">
        <v>78885.497319999995</v>
      </c>
      <c r="K277" s="278">
        <v>7602.9285300000001</v>
      </c>
      <c r="L277" s="278">
        <v>6350.0253600000005</v>
      </c>
      <c r="M277" s="278">
        <v>92838.451209999999</v>
      </c>
      <c r="N277" s="278">
        <v>46579.008000000002</v>
      </c>
      <c r="O277" s="278">
        <v>172.70542</v>
      </c>
      <c r="P277" s="278">
        <v>352.65340000000003</v>
      </c>
      <c r="Q277" s="278">
        <v>2360.0333700000001</v>
      </c>
      <c r="R277" s="278">
        <v>7.00237</v>
      </c>
      <c r="S277" s="278">
        <v>3368.1355800000001</v>
      </c>
      <c r="U277" s="278">
        <v>9177.2055999999993</v>
      </c>
      <c r="V277" s="278">
        <v>0</v>
      </c>
      <c r="W277" s="278">
        <v>0</v>
      </c>
      <c r="X277" s="278">
        <v>-5809.0700199999992</v>
      </c>
      <c r="Y277" s="278">
        <v>-327.19655999999998</v>
      </c>
      <c r="Z277" s="278">
        <v>0</v>
      </c>
      <c r="AA277" s="278">
        <v>0</v>
      </c>
      <c r="AB277" s="278">
        <v>-5481.8734599999998</v>
      </c>
      <c r="AD277" s="278">
        <v>1872.4168300000001</v>
      </c>
      <c r="AE277" s="157">
        <v>2761.7611000000002</v>
      </c>
      <c r="AF277" s="184">
        <v>-606.37447999999995</v>
      </c>
      <c r="AG277" s="278">
        <v>-7844.1783599999999</v>
      </c>
      <c r="AH277" s="278">
        <v>102.968</v>
      </c>
      <c r="AI277" s="184">
        <v>868.28036999999995</v>
      </c>
      <c r="AJ277" s="278">
        <v>14480.536409999999</v>
      </c>
      <c r="AL277" s="278">
        <v>80079.374890000021</v>
      </c>
      <c r="AM277" s="184">
        <v>61.22204</v>
      </c>
      <c r="AN277" s="278">
        <v>-377.71413999999999</v>
      </c>
      <c r="AO277" s="355">
        <v>20694</v>
      </c>
      <c r="AP277" s="344">
        <v>7.61</v>
      </c>
      <c r="AQ277" s="462"/>
      <c r="AS277" s="469">
        <v>20499.957180000005</v>
      </c>
      <c r="AT277" s="278">
        <v>73884.686489999993</v>
      </c>
      <c r="AU277" s="464"/>
      <c r="AV277" s="346">
        <v>37498.425369999997</v>
      </c>
      <c r="AW277" s="346">
        <v>5477.5452599999999</v>
      </c>
      <c r="AX277" s="346">
        <v>6168.6607400000003</v>
      </c>
      <c r="AY277" s="346">
        <v>49144.631369999996</v>
      </c>
      <c r="AZ277" s="346">
        <v>12682.151</v>
      </c>
      <c r="BA277" s="278">
        <v>323.3304</v>
      </c>
      <c r="BB277" s="345">
        <v>881.01881000000003</v>
      </c>
      <c r="BC277" s="278">
        <v>1253.6422399999999</v>
      </c>
      <c r="BD277" s="278">
        <v>6.9079899999999999</v>
      </c>
      <c r="BE277" s="346">
        <v>9392.3819499999991</v>
      </c>
      <c r="BG277" s="343">
        <v>9511.8847899999982</v>
      </c>
      <c r="BH277" s="343">
        <v>0</v>
      </c>
      <c r="BI277" s="343">
        <v>0</v>
      </c>
      <c r="BJ277" s="346">
        <v>-119.50283999999999</v>
      </c>
      <c r="BK277" s="346">
        <v>-326.90735999999998</v>
      </c>
      <c r="BL277" s="346">
        <v>0</v>
      </c>
      <c r="BM277" s="346">
        <v>0</v>
      </c>
      <c r="BN277" s="346">
        <v>207.40451999999999</v>
      </c>
      <c r="BP277" s="346">
        <v>2079.8213500000002</v>
      </c>
      <c r="BQ277" s="318">
        <v>8724.067070000001</v>
      </c>
      <c r="BR277" s="278">
        <v>-668.31488000000002</v>
      </c>
      <c r="BS277" s="475">
        <v>-21636.244620000001</v>
      </c>
      <c r="BT277" s="278">
        <v>233.4375</v>
      </c>
      <c r="BU277" s="278">
        <v>704.97513000000004</v>
      </c>
      <c r="BV277" s="345">
        <v>6390.2313899999999</v>
      </c>
      <c r="BX277" s="278">
        <v>85943.092990000005</v>
      </c>
      <c r="BY277" s="483">
        <v>958.46204</v>
      </c>
      <c r="BZ277" s="483">
        <v>5863.7181</v>
      </c>
      <c r="CA277" s="260"/>
      <c r="CB277" s="347">
        <v>8.9</v>
      </c>
      <c r="CC277" s="486">
        <f t="shared" si="4"/>
        <v>8.9</v>
      </c>
      <c r="CD277" s="287"/>
      <c r="CE277" s="278"/>
      <c r="CF277" s="268"/>
      <c r="CI277" s="158">
        <v>0</v>
      </c>
      <c r="CJ277" s="343">
        <v>8177.2784553043548</v>
      </c>
      <c r="CK277" s="343">
        <v>10136.567852785962</v>
      </c>
      <c r="CL277" s="343">
        <v>10634.226636264888</v>
      </c>
      <c r="CM277" s="487">
        <v>10843.169567005645</v>
      </c>
      <c r="CN277" s="487">
        <v>11842.046855240231</v>
      </c>
      <c r="CO277" s="495">
        <v>767.15099999999995</v>
      </c>
      <c r="CP277" s="299"/>
      <c r="CQ277" s="489">
        <v>407.16815000000003</v>
      </c>
      <c r="CR277" s="489">
        <v>261.28305</v>
      </c>
    </row>
    <row r="278" spans="1:96" x14ac:dyDescent="0.2">
      <c r="A278" s="154">
        <v>92</v>
      </c>
      <c r="B278" s="156" t="s">
        <v>300</v>
      </c>
      <c r="C278" s="337">
        <v>242819</v>
      </c>
      <c r="D278" s="276">
        <v>19</v>
      </c>
      <c r="E278" s="185"/>
      <c r="G278" s="278">
        <v>285787.84052999999</v>
      </c>
      <c r="H278" s="278">
        <v>1679816.9056199999</v>
      </c>
      <c r="I278" s="278"/>
      <c r="J278" s="278">
        <v>957369.9702000001</v>
      </c>
      <c r="K278" s="278">
        <v>137840.38787999999</v>
      </c>
      <c r="L278" s="278">
        <v>108450.18603</v>
      </c>
      <c r="M278" s="278">
        <v>1203660.5441099999</v>
      </c>
      <c r="N278" s="278">
        <v>287596.67700000003</v>
      </c>
      <c r="O278" s="278">
        <v>13812.88135</v>
      </c>
      <c r="P278" s="278">
        <v>2534.9961400000002</v>
      </c>
      <c r="Q278" s="278">
        <v>15198.706550000001</v>
      </c>
      <c r="R278" s="278">
        <v>123.67910000000001</v>
      </c>
      <c r="S278" s="278">
        <v>123581.06868000001</v>
      </c>
      <c r="U278" s="278">
        <v>110630.30958</v>
      </c>
      <c r="V278" s="278">
        <v>49.932259999999999</v>
      </c>
      <c r="W278" s="278">
        <v>0</v>
      </c>
      <c r="X278" s="278">
        <v>13000.691359999999</v>
      </c>
      <c r="Y278" s="278">
        <v>-302.80445000000003</v>
      </c>
      <c r="Z278" s="278">
        <v>0</v>
      </c>
      <c r="AA278" s="278">
        <v>1210.1502399999999</v>
      </c>
      <c r="AB278" s="278">
        <v>12093.345569999999</v>
      </c>
      <c r="AD278" s="278">
        <v>552640.62568000006</v>
      </c>
      <c r="AE278" s="157">
        <v>77278.214849999989</v>
      </c>
      <c r="AF278" s="184">
        <v>-46352.786090000001</v>
      </c>
      <c r="AG278" s="278">
        <v>-139995.23352000001</v>
      </c>
      <c r="AH278" s="278">
        <v>8697.9472399999995</v>
      </c>
      <c r="AI278" s="184">
        <v>62173.761159999995</v>
      </c>
      <c r="AJ278" s="278">
        <v>133093.24009000001</v>
      </c>
      <c r="AL278" s="278">
        <v>807202.69078999991</v>
      </c>
      <c r="AM278" s="184">
        <v>6129.5097100000003</v>
      </c>
      <c r="AN278" s="278">
        <v>-82959.106200000009</v>
      </c>
      <c r="AO278" s="355">
        <v>247443</v>
      </c>
      <c r="AP278" s="344">
        <v>6.36</v>
      </c>
      <c r="AQ278" s="462"/>
      <c r="AS278" s="469">
        <v>158641.91045</v>
      </c>
      <c r="AT278" s="278">
        <v>832692.27815000003</v>
      </c>
      <c r="AU278" s="464"/>
      <c r="AV278" s="346">
        <v>431249.35191000003</v>
      </c>
      <c r="AW278" s="346">
        <v>95335.716650000002</v>
      </c>
      <c r="AX278" s="346">
        <v>112093.60262000001</v>
      </c>
      <c r="AY278" s="346">
        <v>638678.67117999995</v>
      </c>
      <c r="AZ278" s="346">
        <v>179656.46799999999</v>
      </c>
      <c r="BA278" s="278">
        <v>17944.17236</v>
      </c>
      <c r="BB278" s="345">
        <v>13989.6181</v>
      </c>
      <c r="BC278" s="278">
        <v>13828.59</v>
      </c>
      <c r="BD278" s="278">
        <v>80.190759999999997</v>
      </c>
      <c r="BE278" s="346">
        <v>161987.72498</v>
      </c>
      <c r="BG278" s="343">
        <v>111844.37809999999</v>
      </c>
      <c r="BH278" s="343">
        <v>0</v>
      </c>
      <c r="BI278" s="343">
        <v>0</v>
      </c>
      <c r="BJ278" s="346">
        <v>50143.346880000005</v>
      </c>
      <c r="BK278" s="346">
        <v>0</v>
      </c>
      <c r="BL278" s="346">
        <v>0</v>
      </c>
      <c r="BM278" s="346">
        <v>2465.1714400000001</v>
      </c>
      <c r="BN278" s="346">
        <v>47678.175439999999</v>
      </c>
      <c r="BP278" s="346">
        <v>603161.32293999998</v>
      </c>
      <c r="BQ278" s="318">
        <v>151416.62911000001</v>
      </c>
      <c r="BR278" s="278">
        <v>-10571.095869999999</v>
      </c>
      <c r="BS278" s="475">
        <v>-166819.23353999999</v>
      </c>
      <c r="BT278" s="278">
        <v>4379.0212300000003</v>
      </c>
      <c r="BU278" s="278">
        <v>13052.397650000001</v>
      </c>
      <c r="BV278" s="345">
        <v>116043.93962</v>
      </c>
      <c r="BX278" s="278">
        <v>854068.92072000005</v>
      </c>
      <c r="BY278" s="483">
        <v>11906.303519999999</v>
      </c>
      <c r="BZ278" s="483">
        <v>46866.229930000001</v>
      </c>
      <c r="CA278" s="260"/>
      <c r="CB278" s="347">
        <v>6.4</v>
      </c>
      <c r="CC278" s="486">
        <f t="shared" si="4"/>
        <v>6.4</v>
      </c>
      <c r="CD278" s="287"/>
      <c r="CE278" s="278"/>
      <c r="CF278" s="268"/>
      <c r="CI278" s="158">
        <v>0</v>
      </c>
      <c r="CJ278" s="343">
        <v>177999.33361598905</v>
      </c>
      <c r="CK278" s="343">
        <v>222191.68250694108</v>
      </c>
      <c r="CL278" s="343">
        <v>237227.15580502988</v>
      </c>
      <c r="CM278" s="487">
        <v>246698.66698722413</v>
      </c>
      <c r="CN278" s="487">
        <v>261337.50800419229</v>
      </c>
      <c r="CO278" s="495">
        <v>20768.330999999998</v>
      </c>
      <c r="CP278" s="299"/>
      <c r="CQ278" s="489">
        <v>0</v>
      </c>
      <c r="CR278" s="489">
        <v>0</v>
      </c>
    </row>
    <row r="279" spans="1:96" x14ac:dyDescent="0.2">
      <c r="A279" s="154">
        <v>915</v>
      </c>
      <c r="B279" s="156" t="s">
        <v>301</v>
      </c>
      <c r="C279" s="337">
        <v>19759</v>
      </c>
      <c r="D279" s="276">
        <v>21</v>
      </c>
      <c r="E279" s="185"/>
      <c r="G279" s="278">
        <v>51088.093399999998</v>
      </c>
      <c r="H279" s="278">
        <v>194858.71905000001</v>
      </c>
      <c r="I279" s="278"/>
      <c r="J279" s="278">
        <v>72886.221239999999</v>
      </c>
      <c r="K279" s="278">
        <v>6386.3124000000007</v>
      </c>
      <c r="L279" s="278">
        <v>6692.2186700000002</v>
      </c>
      <c r="M279" s="278">
        <v>85964.752309999996</v>
      </c>
      <c r="N279" s="278">
        <v>60030.463000000003</v>
      </c>
      <c r="O279" s="278">
        <v>976.33543000000009</v>
      </c>
      <c r="P279" s="278">
        <v>741.25756000000001</v>
      </c>
      <c r="Q279" s="278">
        <v>2273.5345899999998</v>
      </c>
      <c r="R279" s="278">
        <v>77.720780000000005</v>
      </c>
      <c r="S279" s="278">
        <v>5462.9273400000002</v>
      </c>
      <c r="U279" s="278">
        <v>7547.68246</v>
      </c>
      <c r="V279" s="278">
        <v>580</v>
      </c>
      <c r="W279" s="278">
        <v>0</v>
      </c>
      <c r="X279" s="278">
        <v>-1504.75512</v>
      </c>
      <c r="Y279" s="278">
        <v>0</v>
      </c>
      <c r="Z279" s="278">
        <v>0</v>
      </c>
      <c r="AA279" s="278">
        <v>0</v>
      </c>
      <c r="AB279" s="278">
        <v>-1504.75512</v>
      </c>
      <c r="AD279" s="278">
        <v>16828.320099999997</v>
      </c>
      <c r="AE279" s="157">
        <v>5002.9738799999996</v>
      </c>
      <c r="AF279" s="184">
        <v>-1039.95346</v>
      </c>
      <c r="AG279" s="278">
        <v>-8277.5246399999996</v>
      </c>
      <c r="AH279" s="278">
        <v>136.41999999999999</v>
      </c>
      <c r="AI279" s="184">
        <v>1772.4482800000001</v>
      </c>
      <c r="AJ279" s="278">
        <v>11316.11693</v>
      </c>
      <c r="AL279" s="278">
        <v>114855.54768</v>
      </c>
      <c r="AM279" s="184">
        <v>-10333.82525</v>
      </c>
      <c r="AN279" s="278">
        <v>987.90148999999997</v>
      </c>
      <c r="AO279" s="355">
        <v>19727</v>
      </c>
      <c r="AP279" s="344">
        <v>8.36</v>
      </c>
      <c r="AQ279" s="462"/>
      <c r="AS279" s="469">
        <v>16732.680939999998</v>
      </c>
      <c r="AT279" s="278">
        <v>66226.275340000007</v>
      </c>
      <c r="AU279" s="464"/>
      <c r="AV279" s="346">
        <v>35914.137569999999</v>
      </c>
      <c r="AW279" s="346">
        <v>4420.3883699999997</v>
      </c>
      <c r="AX279" s="346">
        <v>7228.0861999999997</v>
      </c>
      <c r="AY279" s="346">
        <v>47562.612139999997</v>
      </c>
      <c r="AZ279" s="346">
        <v>7495.7089999999998</v>
      </c>
      <c r="BA279" s="278">
        <v>1139.29556</v>
      </c>
      <c r="BB279" s="345">
        <v>1693.8311899999999</v>
      </c>
      <c r="BC279" s="278">
        <v>2471.8668199999997</v>
      </c>
      <c r="BD279" s="278">
        <v>45.73516</v>
      </c>
      <c r="BE279" s="346">
        <v>8310.9178200000006</v>
      </c>
      <c r="BG279" s="343">
        <v>7632.3066100000005</v>
      </c>
      <c r="BH279" s="343">
        <v>0</v>
      </c>
      <c r="BI279" s="343">
        <v>0</v>
      </c>
      <c r="BJ279" s="346">
        <v>678.61120999999991</v>
      </c>
      <c r="BK279" s="343">
        <v>0</v>
      </c>
      <c r="BL279" s="346">
        <v>650</v>
      </c>
      <c r="BM279" s="343">
        <v>0</v>
      </c>
      <c r="BN279" s="346">
        <v>28.61121</v>
      </c>
      <c r="BP279" s="346">
        <v>16856.93131</v>
      </c>
      <c r="BQ279" s="318">
        <v>11417.505740000001</v>
      </c>
      <c r="BR279" s="278">
        <v>3106.5879199999999</v>
      </c>
      <c r="BS279" s="475">
        <v>-10123.034119999998</v>
      </c>
      <c r="BT279" s="278">
        <v>227.4</v>
      </c>
      <c r="BU279" s="278">
        <v>240.52401</v>
      </c>
      <c r="BV279" s="345">
        <v>4820.8117199999997</v>
      </c>
      <c r="BX279" s="278">
        <v>108713.6321</v>
      </c>
      <c r="BY279" s="483">
        <v>2437.3457400000002</v>
      </c>
      <c r="BZ279" s="483">
        <v>-6141.9155799999999</v>
      </c>
      <c r="CA279" s="260"/>
      <c r="CB279" s="347">
        <v>8.8000000000000007</v>
      </c>
      <c r="CC279" s="486">
        <f t="shared" si="4"/>
        <v>8.8000000000000007</v>
      </c>
      <c r="CD279" s="287"/>
      <c r="CE279" s="278"/>
      <c r="CF279" s="268"/>
      <c r="CI279" s="158">
        <v>0</v>
      </c>
      <c r="CJ279" s="343">
        <v>3733.3163628916609</v>
      </c>
      <c r="CK279" s="343">
        <v>5905.7400387826692</v>
      </c>
      <c r="CL279" s="343">
        <v>6583.9298352515252</v>
      </c>
      <c r="CM279" s="487">
        <v>6340.1405116066526</v>
      </c>
      <c r="CN279" s="487">
        <v>8188.6203343520174</v>
      </c>
      <c r="CO279" s="495">
        <v>-2406.8850000000002</v>
      </c>
      <c r="CP279" s="299"/>
      <c r="CQ279" s="489">
        <v>807.44600000000003</v>
      </c>
      <c r="CR279" s="489">
        <v>874.59505000000001</v>
      </c>
    </row>
    <row r="280" spans="1:96" x14ac:dyDescent="0.2">
      <c r="A280" s="154">
        <v>918</v>
      </c>
      <c r="B280" s="156" t="s">
        <v>302</v>
      </c>
      <c r="C280" s="337">
        <v>2228</v>
      </c>
      <c r="D280" s="276">
        <v>22.25</v>
      </c>
      <c r="E280" s="185"/>
      <c r="G280" s="278">
        <v>12357.85871</v>
      </c>
      <c r="H280" s="278">
        <v>26942.1787</v>
      </c>
      <c r="I280" s="278"/>
      <c r="J280" s="278">
        <v>7614.9674699999996</v>
      </c>
      <c r="K280" s="278">
        <v>943.77445999999998</v>
      </c>
      <c r="L280" s="278">
        <v>960.50540999999998</v>
      </c>
      <c r="M280" s="278">
        <v>9519.2473399999999</v>
      </c>
      <c r="N280" s="278">
        <v>6464.1989999999996</v>
      </c>
      <c r="O280" s="278">
        <v>32.497419999999998</v>
      </c>
      <c r="P280" s="278">
        <v>284.00650000000002</v>
      </c>
      <c r="Q280" s="278">
        <v>63.918759999999999</v>
      </c>
      <c r="R280" s="278">
        <v>5.7919999999999999E-2</v>
      </c>
      <c r="S280" s="278">
        <v>1211.47811</v>
      </c>
      <c r="U280" s="278">
        <v>733.20407999999998</v>
      </c>
      <c r="V280" s="278">
        <v>0</v>
      </c>
      <c r="W280" s="278">
        <v>0</v>
      </c>
      <c r="X280" s="278">
        <v>478.27403000000004</v>
      </c>
      <c r="Y280" s="278">
        <v>0</v>
      </c>
      <c r="Z280" s="278">
        <v>0</v>
      </c>
      <c r="AA280" s="278">
        <v>0</v>
      </c>
      <c r="AB280" s="278">
        <v>478.27403000000004</v>
      </c>
      <c r="AD280" s="278">
        <v>1578.3328900000001</v>
      </c>
      <c r="AE280" s="157">
        <v>1211.4781200000002</v>
      </c>
      <c r="AF280" s="184">
        <v>0</v>
      </c>
      <c r="AG280" s="278">
        <v>-170.09669</v>
      </c>
      <c r="AH280" s="278">
        <v>69.3</v>
      </c>
      <c r="AI280" s="184">
        <v>0</v>
      </c>
      <c r="AJ280" s="278">
        <v>3267.7076600000005</v>
      </c>
      <c r="AL280" s="278">
        <v>14529.985000000001</v>
      </c>
      <c r="AM280" s="184">
        <v>84.254999999999995</v>
      </c>
      <c r="AN280" s="278">
        <v>-977.12800000000004</v>
      </c>
      <c r="AO280" s="355">
        <v>2245</v>
      </c>
      <c r="AP280" s="344">
        <v>9.61</v>
      </c>
      <c r="AQ280" s="462"/>
      <c r="AS280" s="469">
        <v>12269.603060000001</v>
      </c>
      <c r="AT280" s="278">
        <v>16671.836910000002</v>
      </c>
      <c r="AU280" s="464"/>
      <c r="AV280" s="346">
        <v>3952.6444700000002</v>
      </c>
      <c r="AW280" s="346">
        <v>455.03757999999999</v>
      </c>
      <c r="AX280" s="346">
        <v>924.41503</v>
      </c>
      <c r="AY280" s="346">
        <v>5332.0970800000005</v>
      </c>
      <c r="AZ280" s="346">
        <v>1020.932</v>
      </c>
      <c r="BA280" s="278">
        <v>82.080669999999998</v>
      </c>
      <c r="BB280" s="345">
        <v>443.68356</v>
      </c>
      <c r="BC280" s="278">
        <v>60.369949999999996</v>
      </c>
      <c r="BD280" s="278">
        <v>9.9399999999999992E-3</v>
      </c>
      <c r="BE280" s="346">
        <v>1649.5523500000002</v>
      </c>
      <c r="BG280" s="343">
        <v>956.34751000000006</v>
      </c>
      <c r="BH280" s="346">
        <v>0</v>
      </c>
      <c r="BI280" s="346">
        <v>0</v>
      </c>
      <c r="BJ280" s="346">
        <v>693.20483999999999</v>
      </c>
      <c r="BK280" s="343">
        <v>0</v>
      </c>
      <c r="BL280" s="346">
        <v>0</v>
      </c>
      <c r="BM280" s="343">
        <v>0</v>
      </c>
      <c r="BN280" s="346">
        <v>693.20483999999999</v>
      </c>
      <c r="BP280" s="346">
        <v>2271.53773</v>
      </c>
      <c r="BQ280" s="318">
        <v>1649.5523500000002</v>
      </c>
      <c r="BR280" s="278">
        <v>0</v>
      </c>
      <c r="BS280" s="475">
        <v>-17.098800000000001</v>
      </c>
      <c r="BT280" s="278">
        <v>0</v>
      </c>
      <c r="BU280" s="278">
        <v>0</v>
      </c>
      <c r="BV280" s="345">
        <v>2170.6134700000002</v>
      </c>
      <c r="BX280" s="278">
        <v>11552.857</v>
      </c>
      <c r="BY280" s="483">
        <v>84.254999999999995</v>
      </c>
      <c r="BZ280" s="483">
        <v>-2977.1280000000002</v>
      </c>
      <c r="CA280" s="260"/>
      <c r="CB280" s="347">
        <v>9.5</v>
      </c>
      <c r="CC280" s="486">
        <f t="shared" si="4"/>
        <v>9.5</v>
      </c>
      <c r="CD280" s="287"/>
      <c r="CE280" s="278"/>
      <c r="CF280" s="268"/>
      <c r="CI280" s="158">
        <v>0</v>
      </c>
      <c r="CJ280" s="343">
        <v>1193.2721688360739</v>
      </c>
      <c r="CK280" s="343">
        <v>1399.4549955257814</v>
      </c>
      <c r="CL280" s="343">
        <v>1304.399288178925</v>
      </c>
      <c r="CM280" s="487">
        <v>1224.0283372323286</v>
      </c>
      <c r="CN280" s="487">
        <v>1410.8787397116348</v>
      </c>
      <c r="CO280" s="495">
        <v>-449.87599999999998</v>
      </c>
      <c r="CP280" s="299"/>
      <c r="CQ280" s="489">
        <v>0</v>
      </c>
      <c r="CR280" s="489">
        <v>0</v>
      </c>
    </row>
    <row r="281" spans="1:96" x14ac:dyDescent="0.2">
      <c r="A281" s="154">
        <v>921</v>
      </c>
      <c r="B281" s="156" t="s">
        <v>303</v>
      </c>
      <c r="C281" s="337">
        <v>1894</v>
      </c>
      <c r="D281" s="276">
        <v>21.75</v>
      </c>
      <c r="E281" s="185"/>
      <c r="G281" s="278">
        <v>3472.53991</v>
      </c>
      <c r="H281" s="278">
        <v>21068.902610000001</v>
      </c>
      <c r="I281" s="278"/>
      <c r="J281" s="278">
        <v>5191.4977600000002</v>
      </c>
      <c r="K281" s="278">
        <v>923.17191000000003</v>
      </c>
      <c r="L281" s="278">
        <v>824.15942000000007</v>
      </c>
      <c r="M281" s="278">
        <v>6938.8290900000002</v>
      </c>
      <c r="N281" s="278">
        <v>11265.697</v>
      </c>
      <c r="O281" s="278">
        <v>5.9240900000000005</v>
      </c>
      <c r="P281" s="278">
        <v>98.655889999999999</v>
      </c>
      <c r="Q281" s="278">
        <v>340.13246999999996</v>
      </c>
      <c r="R281" s="278">
        <v>2.45119</v>
      </c>
      <c r="S281" s="278">
        <v>853.11287000000004</v>
      </c>
      <c r="U281" s="278">
        <v>817.98581999999999</v>
      </c>
      <c r="V281" s="278">
        <v>0</v>
      </c>
      <c r="W281" s="278">
        <v>0</v>
      </c>
      <c r="X281" s="278">
        <v>35.127050000000004</v>
      </c>
      <c r="Y281" s="278">
        <v>0</v>
      </c>
      <c r="Z281" s="278">
        <v>0</v>
      </c>
      <c r="AA281" s="278">
        <v>0</v>
      </c>
      <c r="AB281" s="278">
        <v>35.127050000000004</v>
      </c>
      <c r="AD281" s="278">
        <v>1709.6592700000001</v>
      </c>
      <c r="AE281" s="157">
        <v>1111.9498799999999</v>
      </c>
      <c r="AF281" s="184">
        <v>258.83701000000002</v>
      </c>
      <c r="AG281" s="278">
        <v>-126.43389000000001</v>
      </c>
      <c r="AH281" s="278">
        <v>0</v>
      </c>
      <c r="AI281" s="184">
        <v>3.8</v>
      </c>
      <c r="AJ281" s="278">
        <v>2452.2734</v>
      </c>
      <c r="AL281" s="278">
        <v>7374.6409999999987</v>
      </c>
      <c r="AM281" s="184">
        <v>-100</v>
      </c>
      <c r="AN281" s="278">
        <v>-707.31399999999996</v>
      </c>
      <c r="AO281" s="355">
        <v>1895</v>
      </c>
      <c r="AP281" s="344">
        <v>9.11</v>
      </c>
      <c r="AQ281" s="462"/>
      <c r="AS281" s="469">
        <v>2778.8406400000003</v>
      </c>
      <c r="AT281" s="278">
        <v>8832.6453000000001</v>
      </c>
      <c r="AU281" s="464"/>
      <c r="AV281" s="346">
        <v>2703.88031</v>
      </c>
      <c r="AW281" s="346">
        <v>524.37968999999998</v>
      </c>
      <c r="AX281" s="346">
        <v>796.92403999999999</v>
      </c>
      <c r="AY281" s="346">
        <v>4025.1840400000001</v>
      </c>
      <c r="AZ281" s="346">
        <v>2774.2629999999999</v>
      </c>
      <c r="BA281" s="278">
        <v>50.335970000000003</v>
      </c>
      <c r="BB281" s="345">
        <v>205.61189000000002</v>
      </c>
      <c r="BC281" s="278">
        <v>354.09566999999998</v>
      </c>
      <c r="BD281" s="278">
        <v>2.3624999999999998</v>
      </c>
      <c r="BE281" s="346">
        <v>942.09963000000005</v>
      </c>
      <c r="BG281" s="343">
        <v>912.34821999999997</v>
      </c>
      <c r="BH281" s="343">
        <v>0</v>
      </c>
      <c r="BI281" s="343">
        <v>0</v>
      </c>
      <c r="BJ281" s="346">
        <v>29.75141</v>
      </c>
      <c r="BK281" s="343">
        <v>0</v>
      </c>
      <c r="BL281" s="343">
        <v>0</v>
      </c>
      <c r="BM281" s="343">
        <v>0</v>
      </c>
      <c r="BN281" s="346">
        <v>29.75141</v>
      </c>
      <c r="BP281" s="346">
        <v>1739.4106800000002</v>
      </c>
      <c r="BQ281" s="318">
        <v>1195.6244099999999</v>
      </c>
      <c r="BR281" s="278">
        <v>402.87774000000002</v>
      </c>
      <c r="BS281" s="475">
        <v>-280.04798</v>
      </c>
      <c r="BT281" s="278">
        <v>-1.0860000000000001</v>
      </c>
      <c r="BU281" s="278">
        <v>2.1</v>
      </c>
      <c r="BV281" s="345">
        <v>2476.7263599999997</v>
      </c>
      <c r="BX281" s="278">
        <v>6722.3270000000002</v>
      </c>
      <c r="BY281" s="483">
        <v>0</v>
      </c>
      <c r="BZ281" s="483">
        <v>-652.31399999999996</v>
      </c>
      <c r="CA281" s="260"/>
      <c r="CB281" s="347">
        <v>9.2000000000000011</v>
      </c>
      <c r="CC281" s="486">
        <f t="shared" si="4"/>
        <v>9.2000000000000011</v>
      </c>
      <c r="CD281" s="287"/>
      <c r="CE281" s="278"/>
      <c r="CF281" s="268"/>
      <c r="CI281" s="158">
        <v>0</v>
      </c>
      <c r="CJ281" s="343">
        <v>2628.0912900895937</v>
      </c>
      <c r="CK281" s="343">
        <v>2845.9238528612809</v>
      </c>
      <c r="CL281" s="343">
        <v>2832.5477979509892</v>
      </c>
      <c r="CM281" s="487">
        <v>2774.5966629506206</v>
      </c>
      <c r="CN281" s="487">
        <v>3099.2344186502555</v>
      </c>
      <c r="CO281" s="495">
        <v>256.315</v>
      </c>
      <c r="CP281" s="299"/>
      <c r="CQ281" s="489">
        <v>0</v>
      </c>
      <c r="CR281" s="489">
        <v>0</v>
      </c>
    </row>
    <row r="282" spans="1:96" x14ac:dyDescent="0.2">
      <c r="A282" s="154">
        <v>922</v>
      </c>
      <c r="B282" s="156" t="s">
        <v>304</v>
      </c>
      <c r="C282" s="337">
        <v>4501</v>
      </c>
      <c r="D282" s="276">
        <v>22</v>
      </c>
      <c r="E282" s="185"/>
      <c r="G282" s="278">
        <v>3052.6106600000003</v>
      </c>
      <c r="H282" s="278">
        <v>29782.997609999999</v>
      </c>
      <c r="I282" s="278"/>
      <c r="J282" s="278">
        <v>18518.479769999998</v>
      </c>
      <c r="K282" s="278">
        <v>895.93949999999995</v>
      </c>
      <c r="L282" s="278">
        <v>1394.3832299999999</v>
      </c>
      <c r="M282" s="278">
        <v>20808.802500000002</v>
      </c>
      <c r="N282" s="278">
        <v>7933.3140000000003</v>
      </c>
      <c r="O282" s="278">
        <v>0</v>
      </c>
      <c r="P282" s="278">
        <v>35.100259999999999</v>
      </c>
      <c r="Q282" s="278">
        <v>88.156990000000008</v>
      </c>
      <c r="R282" s="278">
        <v>-653.95793999999989</v>
      </c>
      <c r="S282" s="278">
        <v>2718.74422</v>
      </c>
      <c r="U282" s="278">
        <v>1356.5371200000002</v>
      </c>
      <c r="V282" s="278">
        <v>0</v>
      </c>
      <c r="W282" s="278">
        <v>0</v>
      </c>
      <c r="X282" s="278">
        <v>1362.2071000000001</v>
      </c>
      <c r="Y282" s="278">
        <v>-4.0030000000000003E-2</v>
      </c>
      <c r="Z282" s="278">
        <v>0</v>
      </c>
      <c r="AA282" s="278">
        <v>0</v>
      </c>
      <c r="AB282" s="278">
        <v>1362.24713</v>
      </c>
      <c r="AD282" s="278">
        <v>4123.8428199999998</v>
      </c>
      <c r="AE282" s="157">
        <v>1628.8478400000001</v>
      </c>
      <c r="AF282" s="184">
        <v>-1089.8963799999999</v>
      </c>
      <c r="AG282" s="278">
        <v>-1750.3652199999999</v>
      </c>
      <c r="AH282" s="278">
        <v>12.18</v>
      </c>
      <c r="AI282" s="184">
        <v>381.75333000000001</v>
      </c>
      <c r="AJ282" s="278">
        <v>3685.6055400000005</v>
      </c>
      <c r="AL282" s="278">
        <v>10910.002</v>
      </c>
      <c r="AM282" s="184">
        <v>0</v>
      </c>
      <c r="AN282" s="278">
        <v>-1286.6659999999999</v>
      </c>
      <c r="AO282" s="355">
        <v>4469</v>
      </c>
      <c r="AP282" s="344">
        <v>9.36</v>
      </c>
      <c r="AQ282" s="462"/>
      <c r="AS282" s="469">
        <v>2300.9714900000004</v>
      </c>
      <c r="AT282" s="278">
        <v>15324.909109999999</v>
      </c>
      <c r="AU282" s="464"/>
      <c r="AV282" s="346">
        <v>10005.445169999999</v>
      </c>
      <c r="AW282" s="346">
        <v>568.06067000000007</v>
      </c>
      <c r="AX282" s="346">
        <v>1431.6971799999999</v>
      </c>
      <c r="AY282" s="346">
        <v>12005.203019999999</v>
      </c>
      <c r="AZ282" s="346">
        <v>2964.8760000000002</v>
      </c>
      <c r="BA282" s="278">
        <v>13.43317</v>
      </c>
      <c r="BB282" s="345">
        <v>140.18539000000001</v>
      </c>
      <c r="BC282" s="278">
        <v>81.355860000000007</v>
      </c>
      <c r="BD282" s="278">
        <v>-36.361760000000004</v>
      </c>
      <c r="BE282" s="346">
        <v>1937.1068</v>
      </c>
      <c r="BG282" s="343">
        <v>1389.00424</v>
      </c>
      <c r="BH282" s="343">
        <v>0</v>
      </c>
      <c r="BI282" s="343">
        <v>0</v>
      </c>
      <c r="BJ282" s="346">
        <v>548.10256000000004</v>
      </c>
      <c r="BK282" s="346">
        <v>0</v>
      </c>
      <c r="BL282" s="346">
        <v>0</v>
      </c>
      <c r="BM282" s="343">
        <v>0</v>
      </c>
      <c r="BN282" s="346">
        <v>548.10256000000004</v>
      </c>
      <c r="BP282" s="346">
        <v>4671.9453800000001</v>
      </c>
      <c r="BQ282" s="318">
        <v>1890.8158000000001</v>
      </c>
      <c r="BR282" s="278">
        <v>-46.290999999999997</v>
      </c>
      <c r="BS282" s="475">
        <v>-4395.7052000000003</v>
      </c>
      <c r="BT282" s="278">
        <v>0</v>
      </c>
      <c r="BU282" s="278">
        <v>40.853000000000002</v>
      </c>
      <c r="BV282" s="345">
        <v>3115.38177</v>
      </c>
      <c r="BX282" s="278">
        <v>13273.335999999999</v>
      </c>
      <c r="BY282" s="483">
        <v>0</v>
      </c>
      <c r="BZ282" s="483">
        <v>2363.3339999999998</v>
      </c>
      <c r="CA282" s="260"/>
      <c r="CB282" s="347">
        <v>9.3000000000000007</v>
      </c>
      <c r="CC282" s="486">
        <f t="shared" si="4"/>
        <v>9.3000000000000007</v>
      </c>
      <c r="CD282" s="287"/>
      <c r="CE282" s="278"/>
      <c r="CF282" s="268"/>
      <c r="CI282" s="158">
        <v>0</v>
      </c>
      <c r="CJ282" s="343">
        <v>2973.862401861561</v>
      </c>
      <c r="CK282" s="343">
        <v>3312.4154636117191</v>
      </c>
      <c r="CL282" s="343">
        <v>3026.3890009886436</v>
      </c>
      <c r="CM282" s="487">
        <v>2991.0711281054355</v>
      </c>
      <c r="CN282" s="487">
        <v>3152.1273509300827</v>
      </c>
      <c r="CO282" s="495">
        <v>-1121.643</v>
      </c>
      <c r="CP282" s="299"/>
      <c r="CQ282" s="489">
        <v>0</v>
      </c>
      <c r="CR282" s="489">
        <v>0</v>
      </c>
    </row>
    <row r="283" spans="1:96" x14ac:dyDescent="0.2">
      <c r="A283" s="154">
        <v>924</v>
      </c>
      <c r="B283" s="156" t="s">
        <v>305</v>
      </c>
      <c r="C283" s="337">
        <v>2946</v>
      </c>
      <c r="D283" s="276">
        <v>22.5</v>
      </c>
      <c r="E283" s="185"/>
      <c r="G283" s="278">
        <v>3701.9615699999999</v>
      </c>
      <c r="H283" s="278">
        <v>24973.933690000002</v>
      </c>
      <c r="I283" s="278"/>
      <c r="J283" s="278">
        <v>9505.82719</v>
      </c>
      <c r="K283" s="278">
        <v>1036.08593</v>
      </c>
      <c r="L283" s="278">
        <v>798.77409999999998</v>
      </c>
      <c r="M283" s="278">
        <v>11340.68722</v>
      </c>
      <c r="N283" s="278">
        <v>12252.593999999999</v>
      </c>
      <c r="O283" s="278">
        <v>103.94037</v>
      </c>
      <c r="P283" s="278">
        <v>105.02472999999999</v>
      </c>
      <c r="Q283" s="278">
        <v>328.56806</v>
      </c>
      <c r="R283" s="278">
        <v>0.65337999999999996</v>
      </c>
      <c r="S283" s="278">
        <v>2648.13942</v>
      </c>
      <c r="U283" s="278">
        <v>1052.1398700000002</v>
      </c>
      <c r="V283" s="278">
        <v>0</v>
      </c>
      <c r="W283" s="278">
        <v>0</v>
      </c>
      <c r="X283" s="278">
        <v>1595.99955</v>
      </c>
      <c r="Y283" s="278">
        <v>-6.3533999999999997</v>
      </c>
      <c r="Z283" s="278">
        <v>0</v>
      </c>
      <c r="AA283" s="278">
        <v>0</v>
      </c>
      <c r="AB283" s="278">
        <v>1602.35295</v>
      </c>
      <c r="AD283" s="278">
        <v>4096.5949000000001</v>
      </c>
      <c r="AE283" s="157">
        <v>1338.10735</v>
      </c>
      <c r="AF283" s="184">
        <v>-66.708029999999994</v>
      </c>
      <c r="AG283" s="278">
        <v>-2502.4037499999999</v>
      </c>
      <c r="AH283" s="278">
        <v>25</v>
      </c>
      <c r="AI283" s="184">
        <v>1601.5013300000001</v>
      </c>
      <c r="AJ283" s="278">
        <v>952.79660000000013</v>
      </c>
      <c r="AL283" s="278">
        <v>14405.406000000001</v>
      </c>
      <c r="AM283" s="184">
        <v>55.103169999999999</v>
      </c>
      <c r="AN283" s="278">
        <v>-2462.58</v>
      </c>
      <c r="AO283" s="355">
        <v>2936</v>
      </c>
      <c r="AP283" s="344">
        <v>9.86</v>
      </c>
      <c r="AQ283" s="462"/>
      <c r="AS283" s="469">
        <v>2462.0009399999999</v>
      </c>
      <c r="AT283" s="278">
        <v>10979.841410000001</v>
      </c>
      <c r="AU283" s="464"/>
      <c r="AV283" s="346">
        <v>4754.2635700000001</v>
      </c>
      <c r="AW283" s="346">
        <v>660.59379000000001</v>
      </c>
      <c r="AX283" s="346">
        <v>783.43691000000001</v>
      </c>
      <c r="AY283" s="346">
        <v>6198.2942699999994</v>
      </c>
      <c r="AZ283" s="346">
        <v>3232.1738599999999</v>
      </c>
      <c r="BA283" s="278">
        <v>82.826880000000003</v>
      </c>
      <c r="BB283" s="345">
        <v>417.06403999999998</v>
      </c>
      <c r="BC283" s="278">
        <v>83.467749999999995</v>
      </c>
      <c r="BD283" s="278">
        <v>0.15418999999999999</v>
      </c>
      <c r="BE283" s="346">
        <v>661.70406000000003</v>
      </c>
      <c r="BG283" s="343">
        <v>966.39442000000008</v>
      </c>
      <c r="BH283" s="346">
        <v>0</v>
      </c>
      <c r="BI283" s="343">
        <v>0</v>
      </c>
      <c r="BJ283" s="346">
        <v>-304.69036</v>
      </c>
      <c r="BK283" s="343">
        <v>-51.735599999999998</v>
      </c>
      <c r="BL283" s="343">
        <v>0</v>
      </c>
      <c r="BM283" s="343">
        <v>0</v>
      </c>
      <c r="BN283" s="346">
        <v>-252.95476000000002</v>
      </c>
      <c r="BP283" s="346">
        <v>3843.64014</v>
      </c>
      <c r="BQ283" s="318">
        <v>621.53863000000001</v>
      </c>
      <c r="BR283" s="278">
        <v>-40.165430000000001</v>
      </c>
      <c r="BS283" s="475">
        <v>-1984.6774399999999</v>
      </c>
      <c r="BT283" s="278">
        <v>10.485100000000001</v>
      </c>
      <c r="BU283" s="278">
        <v>0.3</v>
      </c>
      <c r="BV283" s="345">
        <v>409.58583000000004</v>
      </c>
      <c r="BX283" s="278">
        <v>13422.826000000001</v>
      </c>
      <c r="BY283" s="483">
        <v>0</v>
      </c>
      <c r="BZ283" s="483">
        <v>-982.58</v>
      </c>
      <c r="CA283" s="260"/>
      <c r="CB283" s="347">
        <v>9.8000000000000007</v>
      </c>
      <c r="CC283" s="486">
        <f t="shared" si="4"/>
        <v>9.8000000000000007</v>
      </c>
      <c r="CD283" s="287"/>
      <c r="CE283" s="278"/>
      <c r="CF283" s="268"/>
      <c r="CI283" s="158">
        <v>500</v>
      </c>
      <c r="CJ283" s="343">
        <v>3323.6513472751944</v>
      </c>
      <c r="CK283" s="343">
        <v>3643.7163974631653</v>
      </c>
      <c r="CL283" s="343">
        <v>3831.2536816380712</v>
      </c>
      <c r="CM283" s="487">
        <v>3704.4858516384265</v>
      </c>
      <c r="CN283" s="487">
        <v>4117.601660486921</v>
      </c>
      <c r="CO283" s="495">
        <v>111.539</v>
      </c>
      <c r="CP283" s="299"/>
      <c r="CQ283" s="489">
        <v>0</v>
      </c>
      <c r="CR283" s="489">
        <v>0</v>
      </c>
    </row>
    <row r="284" spans="1:96" x14ac:dyDescent="0.2">
      <c r="A284" s="154">
        <v>925</v>
      </c>
      <c r="B284" s="156" t="s">
        <v>306</v>
      </c>
      <c r="C284" s="337">
        <v>3427</v>
      </c>
      <c r="D284" s="276">
        <v>21.000000000000004</v>
      </c>
      <c r="E284" s="185"/>
      <c r="G284" s="278">
        <v>1732.3698200000001</v>
      </c>
      <c r="H284" s="278">
        <v>25615.23936</v>
      </c>
      <c r="I284" s="278"/>
      <c r="J284" s="278">
        <v>10557.81697</v>
      </c>
      <c r="K284" s="278">
        <v>4847.4676100000006</v>
      </c>
      <c r="L284" s="278">
        <v>1154.5285800000001</v>
      </c>
      <c r="M284" s="278">
        <v>16559.813160000002</v>
      </c>
      <c r="N284" s="278">
        <v>11386.730019999999</v>
      </c>
      <c r="O284" s="278">
        <v>8.330309999999999</v>
      </c>
      <c r="P284" s="278">
        <v>81.922710000000009</v>
      </c>
      <c r="Q284" s="278">
        <v>545.91944999999998</v>
      </c>
      <c r="R284" s="278">
        <v>51.458860000000001</v>
      </c>
      <c r="S284" s="278">
        <v>4484.5418300000001</v>
      </c>
      <c r="U284" s="278">
        <v>1059.63905</v>
      </c>
      <c r="V284" s="278">
        <v>0</v>
      </c>
      <c r="W284" s="278">
        <v>0</v>
      </c>
      <c r="X284" s="278">
        <v>3424.9027799999999</v>
      </c>
      <c r="Y284" s="278">
        <v>2131.8194900000003</v>
      </c>
      <c r="Z284" s="278">
        <v>-1210</v>
      </c>
      <c r="AA284" s="278">
        <v>950</v>
      </c>
      <c r="AB284" s="278">
        <v>1553.08329</v>
      </c>
      <c r="AD284" s="278">
        <v>11002.644120000001</v>
      </c>
      <c r="AE284" s="157">
        <v>4517.4919</v>
      </c>
      <c r="AF284" s="184">
        <v>32.950069999999997</v>
      </c>
      <c r="AG284" s="278">
        <v>-1533.43749</v>
      </c>
      <c r="AH284" s="278">
        <v>0</v>
      </c>
      <c r="AI284" s="184">
        <v>0</v>
      </c>
      <c r="AJ284" s="278">
        <v>15045.83568</v>
      </c>
      <c r="AL284" s="278">
        <v>5937.5195599999997</v>
      </c>
      <c r="AM284" s="184">
        <v>30</v>
      </c>
      <c r="AN284" s="278">
        <v>-425</v>
      </c>
      <c r="AO284" s="355">
        <v>3387</v>
      </c>
      <c r="AP284" s="344">
        <v>8.3599999999999977</v>
      </c>
      <c r="AQ284" s="462"/>
      <c r="AS284" s="469">
        <v>1818.6125900000002</v>
      </c>
      <c r="AT284" s="278">
        <v>12358.745999999999</v>
      </c>
      <c r="AU284" s="464"/>
      <c r="AV284" s="346">
        <v>5320.3973099999994</v>
      </c>
      <c r="AW284" s="346">
        <v>2727.3009700000002</v>
      </c>
      <c r="AX284" s="346">
        <v>1085.6854599999999</v>
      </c>
      <c r="AY284" s="346">
        <v>9133.3837400000011</v>
      </c>
      <c r="AZ284" s="346">
        <v>4131.7929999999997</v>
      </c>
      <c r="BA284" s="278">
        <v>6.0818900000000005</v>
      </c>
      <c r="BB284" s="345">
        <v>144.18514000000002</v>
      </c>
      <c r="BC284" s="278">
        <v>549.29385000000002</v>
      </c>
      <c r="BD284" s="278">
        <v>14.010249999999999</v>
      </c>
      <c r="BE284" s="346">
        <v>3122.2236800000001</v>
      </c>
      <c r="BG284" s="343">
        <v>1107.5050900000001</v>
      </c>
      <c r="BH284" s="343">
        <v>0</v>
      </c>
      <c r="BI284" s="343">
        <v>0</v>
      </c>
      <c r="BJ284" s="346">
        <v>2014.7185900000002</v>
      </c>
      <c r="BK284" s="346">
        <v>-180.64850000000001</v>
      </c>
      <c r="BL284" s="346">
        <v>950</v>
      </c>
      <c r="BM284" s="343">
        <v>0</v>
      </c>
      <c r="BN284" s="346">
        <v>1245.3670900000002</v>
      </c>
      <c r="BP284" s="346">
        <v>12248.011209999999</v>
      </c>
      <c r="BQ284" s="318">
        <v>3501.65362</v>
      </c>
      <c r="BR284" s="278">
        <v>379.42993999999999</v>
      </c>
      <c r="BS284" s="475">
        <v>-2046.07195</v>
      </c>
      <c r="BT284" s="278">
        <v>355</v>
      </c>
      <c r="BU284" s="278">
        <v>2043.0787700000001</v>
      </c>
      <c r="BV284" s="345">
        <v>18654.576519999999</v>
      </c>
      <c r="BX284" s="278">
        <v>5475.0195599999997</v>
      </c>
      <c r="BY284" s="483">
        <v>57</v>
      </c>
      <c r="BZ284" s="483">
        <v>-462.5</v>
      </c>
      <c r="CA284" s="260"/>
      <c r="CB284" s="347">
        <v>8.4</v>
      </c>
      <c r="CC284" s="486">
        <f t="shared" si="4"/>
        <v>8.4</v>
      </c>
      <c r="CD284" s="287"/>
      <c r="CE284" s="278"/>
      <c r="CF284" s="268"/>
      <c r="CI284" s="158">
        <v>0</v>
      </c>
      <c r="CJ284" s="343">
        <v>3971.418848644626</v>
      </c>
      <c r="CK284" s="343">
        <v>4252.7118800757344</v>
      </c>
      <c r="CL284" s="343">
        <v>4531.7344429136501</v>
      </c>
      <c r="CM284" s="487">
        <v>4627.9328898783479</v>
      </c>
      <c r="CN284" s="487">
        <v>4889.1306986981508</v>
      </c>
      <c r="CO284" s="495">
        <v>-11.954000000000001</v>
      </c>
      <c r="CP284" s="299"/>
      <c r="CQ284" s="489">
        <v>0</v>
      </c>
      <c r="CR284" s="489">
        <v>0</v>
      </c>
    </row>
    <row r="285" spans="1:96" x14ac:dyDescent="0.2">
      <c r="A285" s="154">
        <v>927</v>
      </c>
      <c r="B285" s="156" t="s">
        <v>307</v>
      </c>
      <c r="C285" s="337">
        <v>28913</v>
      </c>
      <c r="D285" s="276">
        <v>20.5</v>
      </c>
      <c r="E285" s="185"/>
      <c r="G285" s="278">
        <v>17049.334559999999</v>
      </c>
      <c r="H285" s="278">
        <v>175097.71802999999</v>
      </c>
      <c r="I285" s="278"/>
      <c r="J285" s="278">
        <v>127804.44087999999</v>
      </c>
      <c r="K285" s="278">
        <v>6037.7105799999999</v>
      </c>
      <c r="L285" s="278">
        <v>7539.8676100000002</v>
      </c>
      <c r="M285" s="278">
        <v>141382.01906999998</v>
      </c>
      <c r="N285" s="278">
        <v>36050.375</v>
      </c>
      <c r="O285" s="278">
        <v>99.917360000000002</v>
      </c>
      <c r="P285" s="278">
        <v>662.81580000000008</v>
      </c>
      <c r="Q285" s="278">
        <v>598.0849300000001</v>
      </c>
      <c r="R285" s="278">
        <v>2.9464399999999999</v>
      </c>
      <c r="S285" s="278">
        <v>19553.588480000002</v>
      </c>
      <c r="U285" s="278">
        <v>11080.20724</v>
      </c>
      <c r="V285" s="278">
        <v>153.89938000000001</v>
      </c>
      <c r="W285" s="278">
        <v>418.2</v>
      </c>
      <c r="X285" s="278">
        <v>8209.0806200000006</v>
      </c>
      <c r="Y285" s="278">
        <v>-189.19944000000001</v>
      </c>
      <c r="Z285" s="278">
        <v>4615.1580000000004</v>
      </c>
      <c r="AA285" s="278">
        <v>0</v>
      </c>
      <c r="AB285" s="278">
        <v>3783.1220600000001</v>
      </c>
      <c r="AD285" s="278">
        <v>16704.03613</v>
      </c>
      <c r="AE285" s="157">
        <v>18915.078890000001</v>
      </c>
      <c r="AF285" s="184">
        <v>-374.20896999999997</v>
      </c>
      <c r="AG285" s="278">
        <v>-22019.62862</v>
      </c>
      <c r="AH285" s="278">
        <v>200</v>
      </c>
      <c r="AI285" s="184">
        <v>991.96429000000001</v>
      </c>
      <c r="AJ285" s="278">
        <v>20097.87601</v>
      </c>
      <c r="AL285" s="278">
        <v>112895.0313</v>
      </c>
      <c r="AM285" s="184">
        <v>84.915229999999994</v>
      </c>
      <c r="AN285" s="278">
        <v>7249.1746600000006</v>
      </c>
      <c r="AO285" s="355">
        <v>28811</v>
      </c>
      <c r="AP285" s="344">
        <v>7.86</v>
      </c>
      <c r="AQ285" s="462"/>
      <c r="AS285" s="469">
        <v>28855.434450000001</v>
      </c>
      <c r="AT285" s="278">
        <v>86260.905310000002</v>
      </c>
      <c r="AU285" s="464"/>
      <c r="AV285" s="346">
        <v>62213.201300000001</v>
      </c>
      <c r="AW285" s="346">
        <v>4016.8567400000002</v>
      </c>
      <c r="AX285" s="346">
        <v>7822.5669400000006</v>
      </c>
      <c r="AY285" s="346">
        <v>74052.624980000008</v>
      </c>
      <c r="AZ285" s="346">
        <v>20162.550999999999</v>
      </c>
      <c r="BA285" s="278">
        <v>259.03008</v>
      </c>
      <c r="BB285" s="345">
        <v>1318.64618</v>
      </c>
      <c r="BC285" s="278">
        <v>170.24543</v>
      </c>
      <c r="BD285" s="278">
        <v>33.257580000000004</v>
      </c>
      <c r="BE285" s="346">
        <v>36135.35183</v>
      </c>
      <c r="BG285" s="343">
        <v>10141.802900000001</v>
      </c>
      <c r="BH285" s="343">
        <v>0</v>
      </c>
      <c r="BI285" s="343">
        <v>0</v>
      </c>
      <c r="BJ285" s="346">
        <v>25993.548930000001</v>
      </c>
      <c r="BK285" s="346">
        <v>-77.399820000000005</v>
      </c>
      <c r="BL285" s="343">
        <v>-140</v>
      </c>
      <c r="BM285" s="343">
        <v>10000</v>
      </c>
      <c r="BN285" s="346">
        <v>16210.94875</v>
      </c>
      <c r="BP285" s="346">
        <v>33103.340889999999</v>
      </c>
      <c r="BQ285" s="318">
        <v>24276.933300000001</v>
      </c>
      <c r="BR285" s="278">
        <v>-11858.418529999999</v>
      </c>
      <c r="BS285" s="475">
        <v>-23305.341039999999</v>
      </c>
      <c r="BT285" s="278">
        <v>179.96947</v>
      </c>
      <c r="BU285" s="278">
        <v>19895.532239999997</v>
      </c>
      <c r="BV285" s="345">
        <v>32299.684819999999</v>
      </c>
      <c r="BX285" s="278">
        <v>99956.701960000006</v>
      </c>
      <c r="BY285" s="483">
        <v>86.853750000000005</v>
      </c>
      <c r="BZ285" s="483">
        <v>-12938.32934</v>
      </c>
      <c r="CA285" s="260"/>
      <c r="CB285" s="347">
        <v>7.8</v>
      </c>
      <c r="CC285" s="486">
        <f t="shared" si="4"/>
        <v>7.8</v>
      </c>
      <c r="CD285" s="287"/>
      <c r="CE285" s="278"/>
      <c r="CF285" s="268"/>
      <c r="CI285" s="158">
        <v>0</v>
      </c>
      <c r="CJ285" s="343">
        <v>18082.2936459251</v>
      </c>
      <c r="CK285" s="343">
        <v>18847.151379104023</v>
      </c>
      <c r="CL285" s="343">
        <v>16905.509763585662</v>
      </c>
      <c r="CM285" s="487">
        <v>16638.62210510327</v>
      </c>
      <c r="CN285" s="487">
        <v>16582.672994895882</v>
      </c>
      <c r="CO285" s="495">
        <v>-3143.4360000000001</v>
      </c>
      <c r="CP285" s="299"/>
      <c r="CQ285" s="489">
        <v>137.33783</v>
      </c>
      <c r="CR285" s="489">
        <v>248.27495999999999</v>
      </c>
    </row>
    <row r="286" spans="1:96" x14ac:dyDescent="0.2">
      <c r="A286" s="154">
        <v>931</v>
      </c>
      <c r="B286" s="156" t="s">
        <v>308</v>
      </c>
      <c r="C286" s="337">
        <v>5951</v>
      </c>
      <c r="D286" s="276">
        <v>21</v>
      </c>
      <c r="E286" s="185"/>
      <c r="G286" s="278">
        <v>35232.424299999999</v>
      </c>
      <c r="H286" s="278">
        <v>84807.303310000003</v>
      </c>
      <c r="I286" s="278"/>
      <c r="J286" s="278">
        <v>17988.901000000002</v>
      </c>
      <c r="K286" s="278">
        <v>3415.96994</v>
      </c>
      <c r="L286" s="278">
        <v>2057.6193200000002</v>
      </c>
      <c r="M286" s="278">
        <v>23462.490260000002</v>
      </c>
      <c r="N286" s="278">
        <v>27734.213</v>
      </c>
      <c r="O286" s="278">
        <v>370.32208000000003</v>
      </c>
      <c r="P286" s="278">
        <v>91.260649999999998</v>
      </c>
      <c r="Q286" s="278">
        <v>54.7502</v>
      </c>
      <c r="R286" s="278">
        <v>89.5595</v>
      </c>
      <c r="S286" s="278">
        <v>1866.07638</v>
      </c>
      <c r="U286" s="278">
        <v>2842.23153</v>
      </c>
      <c r="V286" s="278">
        <v>0</v>
      </c>
      <c r="W286" s="278">
        <v>0</v>
      </c>
      <c r="X286" s="278">
        <v>-976.15515000000005</v>
      </c>
      <c r="Y286" s="278">
        <v>0</v>
      </c>
      <c r="Z286" s="278">
        <v>0</v>
      </c>
      <c r="AA286" s="278">
        <v>0</v>
      </c>
      <c r="AB286" s="278">
        <v>-976.15515000000005</v>
      </c>
      <c r="AD286" s="278">
        <v>26339.323499999999</v>
      </c>
      <c r="AE286" s="157">
        <v>1838.90292</v>
      </c>
      <c r="AF286" s="184">
        <v>-27.173459999999999</v>
      </c>
      <c r="AG286" s="278">
        <v>-2831.09879</v>
      </c>
      <c r="AH286" s="278">
        <v>220</v>
      </c>
      <c r="AI286" s="184">
        <v>55.082389999999997</v>
      </c>
      <c r="AJ286" s="278">
        <v>12806.112640000001</v>
      </c>
      <c r="AL286" s="278">
        <v>12288.12472</v>
      </c>
      <c r="AM286" s="184">
        <v>-860.88628000000006</v>
      </c>
      <c r="AN286" s="278">
        <v>-645.21546000000001</v>
      </c>
      <c r="AO286" s="355">
        <v>5877</v>
      </c>
      <c r="AP286" s="344">
        <v>8.36</v>
      </c>
      <c r="AQ286" s="462"/>
      <c r="AS286" s="469">
        <v>8348.9619999999995</v>
      </c>
      <c r="AT286" s="278">
        <v>24268.638050000001</v>
      </c>
      <c r="AU286" s="464"/>
      <c r="AV286" s="346">
        <v>8405.1610899999996</v>
      </c>
      <c r="AW286" s="346">
        <v>2373.2633100000003</v>
      </c>
      <c r="AX286" s="346">
        <v>2014.88931</v>
      </c>
      <c r="AY286" s="346">
        <v>12793.31371</v>
      </c>
      <c r="AZ286" s="346">
        <v>9733.8410000000003</v>
      </c>
      <c r="BA286" s="278">
        <v>125.57113000000001</v>
      </c>
      <c r="BB286" s="345">
        <v>417.88473999999997</v>
      </c>
      <c r="BC286" s="278">
        <v>58.781129999999997</v>
      </c>
      <c r="BD286" s="278">
        <v>65.518339999999995</v>
      </c>
      <c r="BE286" s="346">
        <v>6308.4278400000003</v>
      </c>
      <c r="BG286" s="343">
        <v>2819.27781</v>
      </c>
      <c r="BH286" s="343">
        <v>44.765059999999998</v>
      </c>
      <c r="BI286" s="343">
        <v>819.36656999999991</v>
      </c>
      <c r="BJ286" s="346">
        <v>2714.5485199999998</v>
      </c>
      <c r="BK286" s="343">
        <v>0</v>
      </c>
      <c r="BL286" s="343">
        <v>2713</v>
      </c>
      <c r="BM286" s="343">
        <v>0</v>
      </c>
      <c r="BN286" s="346">
        <v>1.5485199999999999</v>
      </c>
      <c r="BP286" s="346">
        <v>26340.872019999999</v>
      </c>
      <c r="BQ286" s="318">
        <v>5367.9146500000006</v>
      </c>
      <c r="BR286" s="278">
        <v>-165.91167999999999</v>
      </c>
      <c r="BS286" s="475">
        <v>-2707.386</v>
      </c>
      <c r="BT286" s="278">
        <v>100</v>
      </c>
      <c r="BU286" s="278">
        <v>277.09649999999999</v>
      </c>
      <c r="BV286" s="345">
        <v>12299.59598</v>
      </c>
      <c r="BX286" s="278">
        <v>10671.447529999999</v>
      </c>
      <c r="BY286" s="483">
        <v>0</v>
      </c>
      <c r="BZ286" s="483">
        <v>-1616.6771899999999</v>
      </c>
      <c r="CA286" s="260"/>
      <c r="CB286" s="347">
        <v>8.4</v>
      </c>
      <c r="CC286" s="486">
        <f t="shared" si="4"/>
        <v>8.4</v>
      </c>
      <c r="CD286" s="287"/>
      <c r="CE286" s="278"/>
      <c r="CF286" s="268"/>
      <c r="CI286" s="158">
        <v>0</v>
      </c>
      <c r="CJ286" s="343">
        <v>8214.8566947376148</v>
      </c>
      <c r="CK286" s="343">
        <v>8378.1010006911692</v>
      </c>
      <c r="CL286" s="343">
        <v>8490.8920122784293</v>
      </c>
      <c r="CM286" s="487">
        <v>8474.2642912882893</v>
      </c>
      <c r="CN286" s="487">
        <v>9225.8252563585647</v>
      </c>
      <c r="CO286" s="495">
        <v>182.33600000000001</v>
      </c>
      <c r="CP286" s="299"/>
      <c r="CQ286" s="489">
        <v>0</v>
      </c>
      <c r="CR286" s="489">
        <v>0</v>
      </c>
    </row>
    <row r="287" spans="1:96" x14ac:dyDescent="0.2">
      <c r="A287" s="154">
        <v>934</v>
      </c>
      <c r="B287" s="156" t="s">
        <v>309</v>
      </c>
      <c r="C287" s="337">
        <v>2671</v>
      </c>
      <c r="D287" s="276">
        <v>22.250000000000004</v>
      </c>
      <c r="E287" s="185"/>
      <c r="G287" s="278">
        <v>4184.5655399999996</v>
      </c>
      <c r="H287" s="278">
        <v>22424.9401</v>
      </c>
      <c r="I287" s="278"/>
      <c r="J287" s="278">
        <v>9158.5745900000002</v>
      </c>
      <c r="K287" s="278">
        <v>981.63485000000003</v>
      </c>
      <c r="L287" s="278">
        <v>820.12905000000001</v>
      </c>
      <c r="M287" s="278">
        <v>10960.33849</v>
      </c>
      <c r="N287" s="278">
        <v>9117.6710000000003</v>
      </c>
      <c r="O287" s="278">
        <v>9.3086200000000012</v>
      </c>
      <c r="P287" s="278">
        <v>92.003479999999996</v>
      </c>
      <c r="Q287" s="278">
        <v>80.879480000000001</v>
      </c>
      <c r="R287" s="278">
        <v>2.2903899999999999</v>
      </c>
      <c r="S287" s="278">
        <v>1833.5291599999998</v>
      </c>
      <c r="U287" s="278">
        <v>1038.9871800000001</v>
      </c>
      <c r="V287" s="278">
        <v>0</v>
      </c>
      <c r="W287" s="278">
        <v>0</v>
      </c>
      <c r="X287" s="278">
        <v>794.54197999999997</v>
      </c>
      <c r="Y287" s="278">
        <v>0</v>
      </c>
      <c r="Z287" s="278">
        <v>0</v>
      </c>
      <c r="AA287" s="278">
        <v>0</v>
      </c>
      <c r="AB287" s="278">
        <v>794.54197999999997</v>
      </c>
      <c r="AD287" s="278">
        <v>1600.4539499999998</v>
      </c>
      <c r="AE287" s="157">
        <v>1813.5291599999998</v>
      </c>
      <c r="AF287" s="184">
        <v>-20</v>
      </c>
      <c r="AG287" s="278">
        <v>-1995.4922099999999</v>
      </c>
      <c r="AH287" s="278">
        <v>76.421410000000009</v>
      </c>
      <c r="AI287" s="184">
        <v>20</v>
      </c>
      <c r="AJ287" s="278">
        <v>277.84390999999999</v>
      </c>
      <c r="AL287" s="278">
        <v>11418.093999999999</v>
      </c>
      <c r="AM287" s="184">
        <v>0</v>
      </c>
      <c r="AN287" s="278">
        <v>288.79199999999997</v>
      </c>
      <c r="AO287" s="355">
        <v>2656</v>
      </c>
      <c r="AP287" s="344">
        <v>9.61</v>
      </c>
      <c r="AQ287" s="462"/>
      <c r="AS287" s="469">
        <v>3829.7129500000001</v>
      </c>
      <c r="AT287" s="278">
        <v>10307.610349999999</v>
      </c>
      <c r="AU287" s="464"/>
      <c r="AV287" s="346">
        <v>4905.82672</v>
      </c>
      <c r="AW287" s="346">
        <v>634.7658100000001</v>
      </c>
      <c r="AX287" s="346">
        <v>842.90860999999995</v>
      </c>
      <c r="AY287" s="346">
        <v>6383.5011399999994</v>
      </c>
      <c r="AZ287" s="346">
        <v>1786.605</v>
      </c>
      <c r="BA287" s="278">
        <v>20.70036</v>
      </c>
      <c r="BB287" s="345">
        <v>245.87773999999999</v>
      </c>
      <c r="BC287" s="278">
        <v>7.0895400000000004</v>
      </c>
      <c r="BD287" s="278">
        <v>7.1826600000000003</v>
      </c>
      <c r="BE287" s="346">
        <v>1466.93824</v>
      </c>
      <c r="BG287" s="343">
        <v>1000.9636400000001</v>
      </c>
      <c r="BH287" s="343">
        <v>0</v>
      </c>
      <c r="BI287" s="346">
        <v>0</v>
      </c>
      <c r="BJ287" s="346">
        <v>465.97459999999995</v>
      </c>
      <c r="BK287" s="346">
        <v>0</v>
      </c>
      <c r="BL287" s="343">
        <v>0</v>
      </c>
      <c r="BM287" s="343">
        <v>0</v>
      </c>
      <c r="BN287" s="346">
        <v>465.97459999999995</v>
      </c>
      <c r="BP287" s="346">
        <v>2066.4285499999996</v>
      </c>
      <c r="BQ287" s="318">
        <v>1446.2102</v>
      </c>
      <c r="BR287" s="278">
        <v>-20.728000000000002</v>
      </c>
      <c r="BS287" s="475">
        <v>-1938.4186000000002</v>
      </c>
      <c r="BT287" s="278">
        <v>70.623800000000003</v>
      </c>
      <c r="BU287" s="278">
        <v>507.37009999999998</v>
      </c>
      <c r="BV287" s="345">
        <v>128.13897</v>
      </c>
      <c r="BX287" s="278">
        <v>10640.22</v>
      </c>
      <c r="BY287" s="483">
        <v>0</v>
      </c>
      <c r="BZ287" s="483">
        <v>-777.87400000000002</v>
      </c>
      <c r="CA287" s="260"/>
      <c r="CB287" s="347">
        <v>9.6</v>
      </c>
      <c r="CC287" s="486">
        <f t="shared" si="4"/>
        <v>9.6</v>
      </c>
      <c r="CD287" s="287"/>
      <c r="CE287" s="278"/>
      <c r="CF287" s="268"/>
      <c r="CG287" s="266"/>
      <c r="CI287" s="158">
        <v>490</v>
      </c>
      <c r="CJ287" s="343">
        <v>1417.9407216647678</v>
      </c>
      <c r="CK287" s="343">
        <v>1598.063320255711</v>
      </c>
      <c r="CL287" s="343">
        <v>1483.5623960295134</v>
      </c>
      <c r="CM287" s="487">
        <v>1492.6109508832556</v>
      </c>
      <c r="CN287" s="487">
        <v>1796.9339922391205</v>
      </c>
      <c r="CO287" s="495">
        <v>-787.755</v>
      </c>
      <c r="CP287" s="299"/>
      <c r="CQ287" s="489">
        <v>0</v>
      </c>
      <c r="CR287" s="489">
        <v>0</v>
      </c>
    </row>
    <row r="288" spans="1:96" x14ac:dyDescent="0.2">
      <c r="A288" s="154">
        <v>935</v>
      </c>
      <c r="B288" s="156" t="s">
        <v>310</v>
      </c>
      <c r="C288" s="337">
        <v>2985</v>
      </c>
      <c r="D288" s="276">
        <v>21.5</v>
      </c>
      <c r="E288" s="185"/>
      <c r="G288" s="278">
        <v>6721.1417000000001</v>
      </c>
      <c r="H288" s="278">
        <v>30877.58135</v>
      </c>
      <c r="I288" s="278"/>
      <c r="J288" s="278">
        <v>9160.9244099999996</v>
      </c>
      <c r="K288" s="278">
        <v>1369.87445</v>
      </c>
      <c r="L288" s="278">
        <v>1421.8720499999999</v>
      </c>
      <c r="M288" s="278">
        <v>11952.670910000001</v>
      </c>
      <c r="N288" s="278">
        <v>10898.268</v>
      </c>
      <c r="O288" s="278">
        <v>24.090419999999998</v>
      </c>
      <c r="P288" s="278">
        <v>171.05259000000001</v>
      </c>
      <c r="Q288" s="278">
        <v>90.473500000000001</v>
      </c>
      <c r="R288" s="278">
        <v>8.5057500000000008</v>
      </c>
      <c r="S288" s="278">
        <v>-1370.4951599999999</v>
      </c>
      <c r="U288" s="278">
        <v>1410.68904</v>
      </c>
      <c r="V288" s="278">
        <v>0</v>
      </c>
      <c r="W288" s="278">
        <v>0</v>
      </c>
      <c r="X288" s="278">
        <v>-2781.1842000000001</v>
      </c>
      <c r="Y288" s="278">
        <v>0</v>
      </c>
      <c r="Z288" s="278">
        <v>0</v>
      </c>
      <c r="AA288" s="278">
        <v>0</v>
      </c>
      <c r="AB288" s="278">
        <v>-2781.1842000000001</v>
      </c>
      <c r="AD288" s="278">
        <v>5611.6191399999998</v>
      </c>
      <c r="AE288" s="157">
        <v>-1741.5173799999998</v>
      </c>
      <c r="AF288" s="184">
        <v>-371.02221999999995</v>
      </c>
      <c r="AG288" s="278">
        <v>-3353.5517100000002</v>
      </c>
      <c r="AH288" s="278">
        <v>242.94929000000002</v>
      </c>
      <c r="AI288" s="184">
        <v>13.355709999999998</v>
      </c>
      <c r="AJ288" s="278">
        <v>1387.23478</v>
      </c>
      <c r="AL288" s="278">
        <v>22400</v>
      </c>
      <c r="AM288" s="184">
        <v>-10.82</v>
      </c>
      <c r="AN288" s="278">
        <v>4100</v>
      </c>
      <c r="AO288" s="355">
        <v>2927</v>
      </c>
      <c r="AP288" s="344">
        <v>8.86</v>
      </c>
      <c r="AQ288" s="462"/>
      <c r="AS288" s="469">
        <v>7021.6576599999999</v>
      </c>
      <c r="AT288" s="278">
        <v>16288.27212</v>
      </c>
      <c r="AU288" s="464"/>
      <c r="AV288" s="346">
        <v>4870.8005199999998</v>
      </c>
      <c r="AW288" s="346">
        <v>713.12617</v>
      </c>
      <c r="AX288" s="346">
        <v>1602.0064199999999</v>
      </c>
      <c r="AY288" s="346">
        <v>7185.9331099999999</v>
      </c>
      <c r="AZ288" s="346">
        <v>2227.8470000000002</v>
      </c>
      <c r="BA288" s="278">
        <v>89.99311999999999</v>
      </c>
      <c r="BB288" s="345">
        <v>633.04683</v>
      </c>
      <c r="BC288" s="278">
        <v>107.14157</v>
      </c>
      <c r="BD288" s="278">
        <v>3.3708</v>
      </c>
      <c r="BE288" s="346">
        <v>-292.11728999999997</v>
      </c>
      <c r="BG288" s="343">
        <v>1511.8759700000001</v>
      </c>
      <c r="BH288" s="343">
        <v>0</v>
      </c>
      <c r="BI288" s="343">
        <v>0</v>
      </c>
      <c r="BJ288" s="346">
        <v>-1803.99326</v>
      </c>
      <c r="BK288" s="346">
        <v>0</v>
      </c>
      <c r="BL288" s="343">
        <v>0</v>
      </c>
      <c r="BM288" s="343">
        <v>0</v>
      </c>
      <c r="BN288" s="346">
        <v>-1803.99326</v>
      </c>
      <c r="BP288" s="346">
        <v>3807.6258799999996</v>
      </c>
      <c r="BQ288" s="318">
        <v>-297.03728999999998</v>
      </c>
      <c r="BR288" s="278">
        <v>-4.92</v>
      </c>
      <c r="BS288" s="475">
        <v>-262.49892</v>
      </c>
      <c r="BT288" s="278">
        <v>0</v>
      </c>
      <c r="BU288" s="278">
        <v>4.92</v>
      </c>
      <c r="BV288" s="345">
        <v>869.44280000000003</v>
      </c>
      <c r="BX288" s="278">
        <v>23000</v>
      </c>
      <c r="BY288" s="483">
        <v>0</v>
      </c>
      <c r="BZ288" s="483">
        <v>600</v>
      </c>
      <c r="CA288" s="260"/>
      <c r="CB288" s="347">
        <v>9.9</v>
      </c>
      <c r="CC288" s="486">
        <f t="shared" si="4"/>
        <v>9.9</v>
      </c>
      <c r="CD288" s="287"/>
      <c r="CE288" s="278"/>
      <c r="CF288" s="268"/>
      <c r="CI288" s="158">
        <v>0</v>
      </c>
      <c r="CJ288" s="343">
        <v>2075.1171821258117</v>
      </c>
      <c r="CK288" s="343">
        <v>2359.5180094023535</v>
      </c>
      <c r="CL288" s="343">
        <v>2350.7772352094598</v>
      </c>
      <c r="CM288" s="487">
        <v>2338.6546372995485</v>
      </c>
      <c r="CN288" s="487">
        <v>2633.2262986741443</v>
      </c>
      <c r="CO288" s="495">
        <v>234.739</v>
      </c>
      <c r="CP288" s="299"/>
      <c r="CQ288" s="489">
        <v>0</v>
      </c>
      <c r="CR288" s="489">
        <v>0</v>
      </c>
    </row>
    <row r="289" spans="1:96" x14ac:dyDescent="0.2">
      <c r="A289" s="154">
        <v>936</v>
      </c>
      <c r="B289" s="156" t="s">
        <v>311</v>
      </c>
      <c r="C289" s="337">
        <v>6395</v>
      </c>
      <c r="D289" s="276">
        <v>21.25</v>
      </c>
      <c r="E289" s="185"/>
      <c r="G289" s="278">
        <v>36530.246159999995</v>
      </c>
      <c r="H289" s="278">
        <v>83729.500489999991</v>
      </c>
      <c r="I289" s="278"/>
      <c r="J289" s="278">
        <v>19459.853500000001</v>
      </c>
      <c r="K289" s="278">
        <v>4127.0379199999998</v>
      </c>
      <c r="L289" s="278">
        <v>1978.3088</v>
      </c>
      <c r="M289" s="278">
        <v>25565.200219999999</v>
      </c>
      <c r="N289" s="278">
        <v>27827.092000000001</v>
      </c>
      <c r="O289" s="278">
        <v>1.9092199999999999</v>
      </c>
      <c r="P289" s="278">
        <v>67.494780000000006</v>
      </c>
      <c r="Q289" s="278">
        <v>826.64787999999999</v>
      </c>
      <c r="R289" s="278">
        <v>-2579.5958500000002</v>
      </c>
      <c r="S289" s="278">
        <v>9684.4090299999989</v>
      </c>
      <c r="U289" s="278">
        <v>6850.1019500000002</v>
      </c>
      <c r="V289" s="278">
        <v>0</v>
      </c>
      <c r="W289" s="278">
        <v>8.8170000000000002</v>
      </c>
      <c r="X289" s="278">
        <v>2825.49008</v>
      </c>
      <c r="Y289" s="278">
        <v>-223.95724999999999</v>
      </c>
      <c r="Z289" s="278">
        <v>0</v>
      </c>
      <c r="AA289" s="278">
        <v>0</v>
      </c>
      <c r="AB289" s="278">
        <v>3049.44733</v>
      </c>
      <c r="AD289" s="278">
        <v>21664.698960000002</v>
      </c>
      <c r="AE289" s="157">
        <v>6917.0234400000008</v>
      </c>
      <c r="AF289" s="184">
        <v>-2758.5685899999999</v>
      </c>
      <c r="AG289" s="278">
        <v>-6492.0505000000003</v>
      </c>
      <c r="AH289" s="278">
        <v>119.02007</v>
      </c>
      <c r="AI289" s="184">
        <v>3371.2778399999997</v>
      </c>
      <c r="AJ289" s="278">
        <v>11556.6122</v>
      </c>
      <c r="AL289" s="278">
        <v>17475.076809999999</v>
      </c>
      <c r="AM289" s="184">
        <v>0</v>
      </c>
      <c r="AN289" s="278">
        <v>-3016.12428</v>
      </c>
      <c r="AO289" s="355">
        <v>6275</v>
      </c>
      <c r="AP289" s="344">
        <v>8.61</v>
      </c>
      <c r="AQ289" s="462"/>
      <c r="AS289" s="469">
        <v>10363.170749999999</v>
      </c>
      <c r="AT289" s="278">
        <v>26590.71761</v>
      </c>
      <c r="AU289" s="464"/>
      <c r="AV289" s="346">
        <v>9913.602710000001</v>
      </c>
      <c r="AW289" s="346">
        <v>2433.2619599999998</v>
      </c>
      <c r="AX289" s="346">
        <v>2029.57222</v>
      </c>
      <c r="AY289" s="346">
        <v>14376.436890000001</v>
      </c>
      <c r="AZ289" s="346">
        <v>7622.87</v>
      </c>
      <c r="BA289" s="278">
        <v>27.219439999999999</v>
      </c>
      <c r="BB289" s="345">
        <v>100.35167999999999</v>
      </c>
      <c r="BC289" s="278">
        <v>282.91530999999998</v>
      </c>
      <c r="BD289" s="278">
        <v>0.41555000000000003</v>
      </c>
      <c r="BE289" s="346">
        <v>6136.43289</v>
      </c>
      <c r="BG289" s="343">
        <v>4224.9144800000004</v>
      </c>
      <c r="BH289" s="343">
        <v>0</v>
      </c>
      <c r="BI289" s="343">
        <v>0</v>
      </c>
      <c r="BJ289" s="346">
        <v>1911.5184099999999</v>
      </c>
      <c r="BK289" s="343">
        <v>-223.95724999999999</v>
      </c>
      <c r="BL289" s="343">
        <v>400</v>
      </c>
      <c r="BM289" s="343">
        <v>0</v>
      </c>
      <c r="BN289" s="346">
        <v>1735.4756599999998</v>
      </c>
      <c r="BP289" s="346">
        <v>23400.174620000002</v>
      </c>
      <c r="BQ289" s="318">
        <v>6054.22091</v>
      </c>
      <c r="BR289" s="278">
        <v>-82.211979999999997</v>
      </c>
      <c r="BS289" s="475">
        <v>-3203.14804</v>
      </c>
      <c r="BT289" s="278">
        <v>214.72696999999999</v>
      </c>
      <c r="BU289" s="278">
        <v>84.596000000000004</v>
      </c>
      <c r="BV289" s="345">
        <v>10357.120080000001</v>
      </c>
      <c r="BX289" s="278">
        <v>14601.10945</v>
      </c>
      <c r="BY289" s="483">
        <v>-2.95</v>
      </c>
      <c r="BZ289" s="483">
        <v>-2873.9673599999996</v>
      </c>
      <c r="CA289" s="260"/>
      <c r="CB289" s="347">
        <v>8.6</v>
      </c>
      <c r="CC289" s="486">
        <f t="shared" si="4"/>
        <v>8.6</v>
      </c>
      <c r="CD289" s="287"/>
      <c r="CE289" s="278"/>
      <c r="CF289" s="268"/>
      <c r="CI289" s="158">
        <v>0</v>
      </c>
      <c r="CJ289" s="343">
        <v>7386.3400324740223</v>
      </c>
      <c r="CK289" s="343">
        <v>7985.8745042945739</v>
      </c>
      <c r="CL289" s="343">
        <v>7695.9203840656273</v>
      </c>
      <c r="CM289" s="487">
        <v>7488.1398555983878</v>
      </c>
      <c r="CN289" s="487">
        <v>8308.4160088661665</v>
      </c>
      <c r="CO289" s="495">
        <v>546.99699999999996</v>
      </c>
      <c r="CP289" s="299"/>
      <c r="CQ289" s="489">
        <v>150.71297000000001</v>
      </c>
      <c r="CR289" s="489">
        <v>155.30534</v>
      </c>
    </row>
    <row r="290" spans="1:96" x14ac:dyDescent="0.2">
      <c r="A290" s="271">
        <v>946</v>
      </c>
      <c r="B290" s="268" t="s">
        <v>380</v>
      </c>
      <c r="C290" s="337">
        <v>6287</v>
      </c>
      <c r="D290" s="276">
        <v>21.5</v>
      </c>
      <c r="E290" s="318"/>
      <c r="F290" s="317"/>
      <c r="G290" s="278">
        <v>15628.46473</v>
      </c>
      <c r="H290" s="278">
        <v>62537.54449</v>
      </c>
      <c r="I290" s="278"/>
      <c r="J290" s="278">
        <v>21935.77864</v>
      </c>
      <c r="K290" s="278">
        <v>2698.5312000000004</v>
      </c>
      <c r="L290" s="278">
        <v>2191.7642599999999</v>
      </c>
      <c r="M290" s="278">
        <v>26826.074100000002</v>
      </c>
      <c r="N290" s="278">
        <v>22686.855</v>
      </c>
      <c r="O290" s="278">
        <v>14.984879999999999</v>
      </c>
      <c r="P290" s="278">
        <v>169.04667999999998</v>
      </c>
      <c r="Q290" s="278">
        <v>96.285409999999999</v>
      </c>
      <c r="R290" s="278">
        <v>26.277259999999998</v>
      </c>
      <c r="S290" s="278">
        <v>2519.7956899999999</v>
      </c>
      <c r="T290" s="317"/>
      <c r="U290" s="278">
        <v>1946.0443799999998</v>
      </c>
      <c r="V290" s="278">
        <v>0</v>
      </c>
      <c r="W290" s="278">
        <v>0</v>
      </c>
      <c r="X290" s="278">
        <v>573.7513100000001</v>
      </c>
      <c r="Y290" s="278">
        <v>406.29455999999999</v>
      </c>
      <c r="Z290" s="278">
        <v>-650</v>
      </c>
      <c r="AA290" s="278">
        <v>14.984879999999999</v>
      </c>
      <c r="AB290" s="278">
        <v>802.47186999999997</v>
      </c>
      <c r="AC290" s="317"/>
      <c r="AD290" s="278">
        <v>6374.3746099999998</v>
      </c>
      <c r="AE290" s="476">
        <v>2223.6880000000001</v>
      </c>
      <c r="AF290" s="345">
        <v>-295.47899999999998</v>
      </c>
      <c r="AG290" s="278">
        <v>-5836.1959999999999</v>
      </c>
      <c r="AH290" s="278">
        <v>0</v>
      </c>
      <c r="AI290" s="345">
        <v>530.81600000000003</v>
      </c>
      <c r="AJ290" s="278">
        <v>2714.6680000000001</v>
      </c>
      <c r="AK290" s="317"/>
      <c r="AL290" s="278">
        <v>28221.997840000004</v>
      </c>
      <c r="AM290" s="345">
        <v>0</v>
      </c>
      <c r="AN290" s="278">
        <v>195.80600000000001</v>
      </c>
      <c r="AO290" s="355">
        <v>6291</v>
      </c>
      <c r="AP290" s="344">
        <v>8.8600000000000012</v>
      </c>
      <c r="AQ290" s="460"/>
      <c r="AR290" s="466"/>
      <c r="AS290" s="469">
        <v>7561.0205400000004</v>
      </c>
      <c r="AT290" s="278">
        <v>28096.314859999999</v>
      </c>
      <c r="AU290" s="465"/>
      <c r="AV290" s="345">
        <v>10763.84863</v>
      </c>
      <c r="AW290" s="345">
        <v>1690.8440399999999</v>
      </c>
      <c r="AX290" s="345">
        <v>2391.14282</v>
      </c>
      <c r="AY290" s="345">
        <v>14845.835489999999</v>
      </c>
      <c r="AZ290" s="345">
        <v>9006.7340000000004</v>
      </c>
      <c r="BA290" s="345">
        <v>97.464500000000001</v>
      </c>
      <c r="BB290" s="345">
        <v>380.36977000000002</v>
      </c>
      <c r="BC290" s="345">
        <v>45.013339999999999</v>
      </c>
      <c r="BD290" s="345">
        <v>27.868689999999997</v>
      </c>
      <c r="BE290" s="345">
        <v>3051.5145499999999</v>
      </c>
      <c r="BF290" s="466"/>
      <c r="BG290" s="345">
        <v>2046.6175800000001</v>
      </c>
      <c r="BH290" s="345">
        <v>0</v>
      </c>
      <c r="BI290" s="345">
        <v>0</v>
      </c>
      <c r="BJ290" s="345">
        <v>1004.89697</v>
      </c>
      <c r="BK290" s="345">
        <v>-252.48335</v>
      </c>
      <c r="BL290" s="345">
        <v>0</v>
      </c>
      <c r="BM290" s="345">
        <v>39.178800000000003</v>
      </c>
      <c r="BN290" s="345">
        <v>1218.2015200000001</v>
      </c>
      <c r="BO290" s="466"/>
      <c r="BP290" s="345">
        <v>7592.5761300000013</v>
      </c>
      <c r="BQ290" s="476">
        <v>3023.48758</v>
      </c>
      <c r="BR290" s="345">
        <v>-28.026970000000002</v>
      </c>
      <c r="BS290" s="345">
        <v>-10907.09359</v>
      </c>
      <c r="BT290" s="345">
        <v>1389.6</v>
      </c>
      <c r="BU290" s="345">
        <v>160.71679</v>
      </c>
      <c r="BV290" s="345">
        <v>3265.43273</v>
      </c>
      <c r="BW290" s="466"/>
      <c r="BX290" s="345">
        <v>36887.159700000004</v>
      </c>
      <c r="BY290" s="483">
        <v>0</v>
      </c>
      <c r="BZ290" s="484">
        <v>8665.1618600000002</v>
      </c>
      <c r="CA290" s="319"/>
      <c r="CB290" s="347">
        <v>9.1999999999999993</v>
      </c>
      <c r="CC290" s="486">
        <f t="shared" si="4"/>
        <v>9.1999999999999993</v>
      </c>
      <c r="CD290" s="320"/>
      <c r="CE290" s="278"/>
      <c r="CF290" s="268"/>
      <c r="CG290" s="317"/>
      <c r="CH290" s="317"/>
      <c r="CI290" s="317">
        <v>0</v>
      </c>
      <c r="CJ290" s="345">
        <v>8920.6945056715431</v>
      </c>
      <c r="CK290" s="345">
        <v>9461.0859336879948</v>
      </c>
      <c r="CL290" s="343">
        <v>9925.6312277202851</v>
      </c>
      <c r="CM290" s="487">
        <v>10045.416807011285</v>
      </c>
      <c r="CN290" s="487">
        <v>10635.25566334601</v>
      </c>
      <c r="CO290" s="495">
        <v>746.12099999999998</v>
      </c>
      <c r="CP290" s="299"/>
      <c r="CQ290" s="489">
        <v>0</v>
      </c>
      <c r="CR290" s="489">
        <v>0</v>
      </c>
    </row>
    <row r="291" spans="1:96" x14ac:dyDescent="0.2">
      <c r="A291" s="154">
        <v>976</v>
      </c>
      <c r="B291" s="156" t="s">
        <v>312</v>
      </c>
      <c r="C291" s="337">
        <v>3788</v>
      </c>
      <c r="D291" s="276">
        <v>20</v>
      </c>
      <c r="E291" s="185"/>
      <c r="G291" s="278">
        <v>11221.937689999999</v>
      </c>
      <c r="H291" s="278">
        <v>45751.529920000001</v>
      </c>
      <c r="I291" s="278"/>
      <c r="J291" s="278">
        <v>11343.235199999999</v>
      </c>
      <c r="K291" s="278">
        <v>1082.9031100000002</v>
      </c>
      <c r="L291" s="278">
        <v>1329.69813</v>
      </c>
      <c r="M291" s="278">
        <v>13755.836439999999</v>
      </c>
      <c r="N291" s="278">
        <v>20675.103999999999</v>
      </c>
      <c r="O291" s="278">
        <v>-0.12712000000000001</v>
      </c>
      <c r="P291" s="278">
        <v>19.330249999999999</v>
      </c>
      <c r="Q291" s="278">
        <v>147.75604000000001</v>
      </c>
      <c r="R291" s="278">
        <v>291.87596000000002</v>
      </c>
      <c r="S291" s="278">
        <v>-262.22908000000001</v>
      </c>
      <c r="U291" s="278">
        <v>1513.93551</v>
      </c>
      <c r="V291" s="278">
        <v>0</v>
      </c>
      <c r="W291" s="278">
        <v>0</v>
      </c>
      <c r="X291" s="278">
        <v>-1776.1645900000001</v>
      </c>
      <c r="Y291" s="278">
        <v>-53.806890000000003</v>
      </c>
      <c r="Z291" s="278">
        <v>0</v>
      </c>
      <c r="AA291" s="278">
        <v>-87.2226</v>
      </c>
      <c r="AB291" s="278">
        <v>-1635.1351000000002</v>
      </c>
      <c r="AD291" s="278">
        <v>8516.0612000000019</v>
      </c>
      <c r="AE291" s="157">
        <v>-733.54831000000001</v>
      </c>
      <c r="AF291" s="184">
        <v>-471.31923</v>
      </c>
      <c r="AG291" s="278">
        <v>-1730.84518</v>
      </c>
      <c r="AH291" s="278">
        <v>184.28375</v>
      </c>
      <c r="AI291" s="184">
        <v>65</v>
      </c>
      <c r="AJ291" s="278">
        <v>9063.2817200000009</v>
      </c>
      <c r="AL291" s="278">
        <v>3550.4340500000008</v>
      </c>
      <c r="AM291" s="184">
        <v>28.021999999999998</v>
      </c>
      <c r="AN291" s="278">
        <v>37.867050000000006</v>
      </c>
      <c r="AO291" s="355">
        <v>3765</v>
      </c>
      <c r="AP291" s="344">
        <v>7.3599999999999994</v>
      </c>
      <c r="AQ291" s="462"/>
      <c r="AS291" s="469">
        <v>4900.4228700000003</v>
      </c>
      <c r="AT291" s="278">
        <v>14263.01965</v>
      </c>
      <c r="AU291" s="464"/>
      <c r="AV291" s="346">
        <v>5269.9499100000003</v>
      </c>
      <c r="AW291" s="346">
        <v>670.60648000000003</v>
      </c>
      <c r="AX291" s="346">
        <v>1341.6393400000002</v>
      </c>
      <c r="AY291" s="346">
        <v>7282.1957300000004</v>
      </c>
      <c r="AZ291" s="346">
        <v>5053.4560000000001</v>
      </c>
      <c r="BA291" s="278">
        <v>29.228560000000002</v>
      </c>
      <c r="BB291" s="345">
        <v>57.225059999999999</v>
      </c>
      <c r="BC291" s="278">
        <v>140.46172000000001</v>
      </c>
      <c r="BD291" s="278">
        <v>15.08422</v>
      </c>
      <c r="BE291" s="346">
        <v>3070.43595</v>
      </c>
      <c r="BG291" s="343">
        <v>1444.6979699999999</v>
      </c>
      <c r="BH291" s="343">
        <v>0</v>
      </c>
      <c r="BI291" s="343">
        <v>0</v>
      </c>
      <c r="BJ291" s="346">
        <v>1625.7379799999999</v>
      </c>
      <c r="BK291" s="343">
        <v>-150.23041000000001</v>
      </c>
      <c r="BL291" s="343">
        <v>0</v>
      </c>
      <c r="BM291" s="343">
        <v>-37.72</v>
      </c>
      <c r="BN291" s="346">
        <v>1813.6883899999998</v>
      </c>
      <c r="BP291" s="346">
        <v>10394.37307</v>
      </c>
      <c r="BQ291" s="318">
        <v>3119.59238</v>
      </c>
      <c r="BR291" s="278">
        <v>49.15643</v>
      </c>
      <c r="BS291" s="475">
        <v>-2321.6173399999998</v>
      </c>
      <c r="BT291" s="278">
        <v>88</v>
      </c>
      <c r="BU291" s="278">
        <v>189.00399999999999</v>
      </c>
      <c r="BV291" s="345">
        <v>9638.7742899999994</v>
      </c>
      <c r="BX291" s="278">
        <v>4626.7269999999999</v>
      </c>
      <c r="BY291" s="483">
        <v>23.021999999999998</v>
      </c>
      <c r="BZ291" s="483">
        <v>1076.29295</v>
      </c>
      <c r="CA291" s="260"/>
      <c r="CB291" s="347">
        <v>8.4</v>
      </c>
      <c r="CC291" s="486">
        <f t="shared" si="4"/>
        <v>8.4</v>
      </c>
      <c r="CD291" s="287"/>
      <c r="CE291" s="278"/>
      <c r="CF291" s="268"/>
      <c r="CI291" s="158">
        <v>0</v>
      </c>
      <c r="CJ291" s="343">
        <v>3378.0109958653552</v>
      </c>
      <c r="CK291" s="343">
        <v>4236.9953382704189</v>
      </c>
      <c r="CL291" s="343">
        <v>4311.1461433493678</v>
      </c>
      <c r="CM291" s="487">
        <v>4302.3063304142015</v>
      </c>
      <c r="CN291" s="487">
        <v>4858.9800933054066</v>
      </c>
      <c r="CO291" s="495">
        <v>-717.93100000000004</v>
      </c>
      <c r="CP291" s="299"/>
      <c r="CQ291" s="489">
        <v>0</v>
      </c>
      <c r="CR291" s="489">
        <v>0</v>
      </c>
    </row>
    <row r="292" spans="1:96" x14ac:dyDescent="0.2">
      <c r="A292" s="154">
        <v>977</v>
      </c>
      <c r="B292" s="156" t="s">
        <v>313</v>
      </c>
      <c r="C292" s="337">
        <v>15293</v>
      </c>
      <c r="D292" s="276">
        <v>23</v>
      </c>
      <c r="E292" s="185"/>
      <c r="G292" s="278">
        <v>32966.37212</v>
      </c>
      <c r="H292" s="278">
        <v>138259.19605</v>
      </c>
      <c r="I292" s="278"/>
      <c r="J292" s="278">
        <v>56440.554880000003</v>
      </c>
      <c r="K292" s="278">
        <v>4909.4095399999997</v>
      </c>
      <c r="L292" s="278">
        <v>5226.8259800000005</v>
      </c>
      <c r="M292" s="278">
        <v>66576.790399999998</v>
      </c>
      <c r="N292" s="278">
        <v>48071.040000000001</v>
      </c>
      <c r="O292" s="278">
        <v>236.91311999999999</v>
      </c>
      <c r="P292" s="278">
        <v>1199.9161100000001</v>
      </c>
      <c r="Q292" s="278">
        <v>256.21118000000001</v>
      </c>
      <c r="R292" s="278">
        <v>146.97566</v>
      </c>
      <c r="S292" s="278">
        <v>8629.3945000000003</v>
      </c>
      <c r="U292" s="278">
        <v>6294.9307099999996</v>
      </c>
      <c r="V292" s="278">
        <v>0</v>
      </c>
      <c r="W292" s="278">
        <v>0</v>
      </c>
      <c r="X292" s="278">
        <v>2334.4637900000002</v>
      </c>
      <c r="Y292" s="278">
        <v>-515.19184999999993</v>
      </c>
      <c r="Z292" s="278">
        <v>0</v>
      </c>
      <c r="AA292" s="278">
        <v>0</v>
      </c>
      <c r="AB292" s="278">
        <v>2849.6556399999999</v>
      </c>
      <c r="AD292" s="278">
        <v>1864.2241300000001</v>
      </c>
      <c r="AE292" s="157">
        <v>7741.8862600000002</v>
      </c>
      <c r="AF292" s="184">
        <v>-887.50824</v>
      </c>
      <c r="AG292" s="278">
        <v>-5862.0358200000001</v>
      </c>
      <c r="AH292" s="278">
        <v>-32.942800000000005</v>
      </c>
      <c r="AI292" s="184">
        <v>1876.2320199999999</v>
      </c>
      <c r="AJ292" s="278">
        <v>2461.0443300000002</v>
      </c>
      <c r="AL292" s="278">
        <v>118666.66999999998</v>
      </c>
      <c r="AM292" s="184">
        <v>104.352</v>
      </c>
      <c r="AN292" s="278">
        <v>-7233.3320000000003</v>
      </c>
      <c r="AO292" s="355">
        <v>15369</v>
      </c>
      <c r="AP292" s="344">
        <v>10.36</v>
      </c>
      <c r="AQ292" s="462"/>
      <c r="AS292" s="469">
        <v>14141.213369999999</v>
      </c>
      <c r="AT292" s="278">
        <v>62039.626060000002</v>
      </c>
      <c r="AU292" s="464"/>
      <c r="AV292" s="346">
        <v>30507.029030000002</v>
      </c>
      <c r="AW292" s="346">
        <v>3791.0399500000003</v>
      </c>
      <c r="AX292" s="346">
        <v>5472.0945999999994</v>
      </c>
      <c r="AY292" s="346">
        <v>39770.16358</v>
      </c>
      <c r="AZ292" s="346">
        <v>18847.362300000001</v>
      </c>
      <c r="BA292" s="278">
        <v>984.11017000000004</v>
      </c>
      <c r="BB292" s="345">
        <v>2816.9972200000002</v>
      </c>
      <c r="BC292" s="278">
        <v>296.41164000000003</v>
      </c>
      <c r="BD292" s="278">
        <v>304.33330000000001</v>
      </c>
      <c r="BE292" s="346">
        <v>9028.9082300000009</v>
      </c>
      <c r="BG292" s="343">
        <v>7033.2747099999997</v>
      </c>
      <c r="BH292" s="343">
        <v>0</v>
      </c>
      <c r="BI292" s="343">
        <v>0</v>
      </c>
      <c r="BJ292" s="346">
        <v>1995.6335200000001</v>
      </c>
      <c r="BK292" s="343">
        <v>0</v>
      </c>
      <c r="BL292" s="343">
        <v>0</v>
      </c>
      <c r="BM292" s="343">
        <v>0</v>
      </c>
      <c r="BN292" s="346">
        <v>1995.6335200000001</v>
      </c>
      <c r="BP292" s="346">
        <v>3859.8576499999999</v>
      </c>
      <c r="BQ292" s="318">
        <v>8828.3337899999988</v>
      </c>
      <c r="BR292" s="278">
        <v>-200.57444000000001</v>
      </c>
      <c r="BS292" s="475">
        <v>-6104.8889900000004</v>
      </c>
      <c r="BT292" s="278">
        <v>406.64301</v>
      </c>
      <c r="BU292" s="278">
        <v>3797.5558999999998</v>
      </c>
      <c r="BV292" s="345">
        <v>1636.5817299999999</v>
      </c>
      <c r="BX292" s="278">
        <v>114299.40656</v>
      </c>
      <c r="BY292" s="483">
        <v>224.352</v>
      </c>
      <c r="BZ292" s="483">
        <v>-4367.2634400000006</v>
      </c>
      <c r="CA292" s="260"/>
      <c r="CB292" s="347">
        <v>10.3</v>
      </c>
      <c r="CC292" s="486">
        <f t="shared" si="4"/>
        <v>10.3</v>
      </c>
      <c r="CD292" s="287"/>
      <c r="CE292" s="278"/>
      <c r="CF292" s="268"/>
      <c r="CG292" s="266"/>
      <c r="CI292" s="158">
        <v>0</v>
      </c>
      <c r="CJ292" s="343">
        <v>17196.243038370823</v>
      </c>
      <c r="CK292" s="343">
        <v>17223.254110960072</v>
      </c>
      <c r="CL292" s="343">
        <v>18106.654570722116</v>
      </c>
      <c r="CM292" s="487">
        <v>18718.176903944932</v>
      </c>
      <c r="CN292" s="487">
        <v>19483.414748150142</v>
      </c>
      <c r="CO292" s="495">
        <v>295.18299999999999</v>
      </c>
      <c r="CP292" s="299"/>
      <c r="CQ292" s="489">
        <v>128.15549999999999</v>
      </c>
      <c r="CR292" s="489">
        <v>150.60374999999999</v>
      </c>
    </row>
    <row r="293" spans="1:96" x14ac:dyDescent="0.2">
      <c r="A293" s="154">
        <v>980</v>
      </c>
      <c r="B293" s="156" t="s">
        <v>314</v>
      </c>
      <c r="C293" s="337">
        <v>33607</v>
      </c>
      <c r="D293" s="276">
        <v>20.5</v>
      </c>
      <c r="E293" s="185"/>
      <c r="G293" s="278">
        <v>27370.953440000001</v>
      </c>
      <c r="H293" s="278">
        <v>228516.94002000001</v>
      </c>
      <c r="I293" s="278"/>
      <c r="J293" s="278">
        <v>133215.92502</v>
      </c>
      <c r="K293" s="278">
        <v>11649.87168</v>
      </c>
      <c r="L293" s="278">
        <v>7713.7630399999998</v>
      </c>
      <c r="M293" s="278">
        <v>152579.55974</v>
      </c>
      <c r="N293" s="278">
        <v>52683.112000000001</v>
      </c>
      <c r="O293" s="278">
        <v>461.4271</v>
      </c>
      <c r="P293" s="278">
        <v>1636.0979199999999</v>
      </c>
      <c r="Q293" s="278">
        <v>2003.0267099999999</v>
      </c>
      <c r="R293" s="278">
        <v>1278.97334</v>
      </c>
      <c r="S293" s="278">
        <v>8841.5616099999988</v>
      </c>
      <c r="U293" s="278">
        <v>11762.52054</v>
      </c>
      <c r="V293" s="278">
        <v>0</v>
      </c>
      <c r="W293" s="278">
        <v>0</v>
      </c>
      <c r="X293" s="278">
        <v>-2920.9589300000002</v>
      </c>
      <c r="Y293" s="278">
        <v>-1125.7793200000001</v>
      </c>
      <c r="Z293" s="278">
        <v>-1000</v>
      </c>
      <c r="AA293" s="278">
        <v>0</v>
      </c>
      <c r="AB293" s="278">
        <v>-795.17961000000003</v>
      </c>
      <c r="AD293" s="278">
        <v>50609.95362</v>
      </c>
      <c r="AE293" s="157">
        <v>5626.7694000000001</v>
      </c>
      <c r="AF293" s="184">
        <v>-3214.7922100000001</v>
      </c>
      <c r="AG293" s="278">
        <v>-23462.61723</v>
      </c>
      <c r="AH293" s="278">
        <v>141</v>
      </c>
      <c r="AI293" s="184">
        <v>1611.0450000000001</v>
      </c>
      <c r="AJ293" s="278">
        <v>11217.830300000001</v>
      </c>
      <c r="AL293" s="278">
        <v>90830</v>
      </c>
      <c r="AM293" s="184">
        <v>549.85372999999993</v>
      </c>
      <c r="AN293" s="278">
        <v>6260</v>
      </c>
      <c r="AO293" s="355">
        <v>33677</v>
      </c>
      <c r="AP293" s="344">
        <v>7.86</v>
      </c>
      <c r="AQ293" s="462"/>
      <c r="AS293" s="469">
        <v>21414.377469999999</v>
      </c>
      <c r="AT293" s="278">
        <v>119460.65418000001</v>
      </c>
      <c r="AU293" s="464"/>
      <c r="AV293" s="346">
        <v>65560.776360000003</v>
      </c>
      <c r="AW293" s="346">
        <v>8445.4210999999996</v>
      </c>
      <c r="AX293" s="346">
        <v>7997.8788399999994</v>
      </c>
      <c r="AY293" s="346">
        <v>82004.076300000001</v>
      </c>
      <c r="AZ293" s="346">
        <v>27396.859</v>
      </c>
      <c r="BA293" s="278">
        <v>461.87180999999998</v>
      </c>
      <c r="BB293" s="345">
        <v>3072.2906899999998</v>
      </c>
      <c r="BC293" s="278">
        <v>2205.3182900000002</v>
      </c>
      <c r="BD293" s="278">
        <v>807.12801999999999</v>
      </c>
      <c r="BE293" s="346">
        <v>16648.474109999999</v>
      </c>
      <c r="BG293" s="343">
        <v>12192.396710000001</v>
      </c>
      <c r="BH293" s="346">
        <v>0</v>
      </c>
      <c r="BI293" s="343">
        <v>0</v>
      </c>
      <c r="BJ293" s="346">
        <v>4456.0774000000001</v>
      </c>
      <c r="BK293" s="343">
        <v>5403.3425499999994</v>
      </c>
      <c r="BL293" s="343">
        <v>-6500</v>
      </c>
      <c r="BM293" s="343">
        <v>0</v>
      </c>
      <c r="BN293" s="346">
        <v>5552.7348499999998</v>
      </c>
      <c r="BP293" s="346">
        <v>56162.688470000001</v>
      </c>
      <c r="BQ293" s="318">
        <v>10934.030580000001</v>
      </c>
      <c r="BR293" s="278">
        <v>-5714.4435300000005</v>
      </c>
      <c r="BS293" s="475">
        <v>-25106.941260000003</v>
      </c>
      <c r="BT293" s="278">
        <v>500.14071000000001</v>
      </c>
      <c r="BU293" s="278">
        <v>5890.0959999999995</v>
      </c>
      <c r="BV293" s="345">
        <v>11620.582380000002</v>
      </c>
      <c r="BX293" s="278">
        <v>102190</v>
      </c>
      <c r="BY293" s="483">
        <v>546.11136999999997</v>
      </c>
      <c r="BZ293" s="483">
        <v>11360</v>
      </c>
      <c r="CA293" s="260"/>
      <c r="CB293" s="347">
        <v>8.4</v>
      </c>
      <c r="CC293" s="486">
        <f t="shared" si="4"/>
        <v>8.4</v>
      </c>
      <c r="CD293" s="287"/>
      <c r="CE293" s="278"/>
      <c r="CF293" s="268"/>
      <c r="CI293" s="158">
        <v>0</v>
      </c>
      <c r="CJ293" s="343">
        <v>25873.469600652083</v>
      </c>
      <c r="CK293" s="343">
        <v>27449.287676738968</v>
      </c>
      <c r="CL293" s="343">
        <v>27556.191494313382</v>
      </c>
      <c r="CM293" s="487">
        <v>27613.238442531045</v>
      </c>
      <c r="CN293" s="487">
        <v>28612.471818120364</v>
      </c>
      <c r="CO293" s="495">
        <v>-3968.3310000000001</v>
      </c>
      <c r="CP293" s="299"/>
      <c r="CQ293" s="489">
        <v>5175.4939000000004</v>
      </c>
      <c r="CR293" s="489">
        <v>6506.0441300000002</v>
      </c>
    </row>
    <row r="294" spans="1:96" x14ac:dyDescent="0.2">
      <c r="A294" s="154">
        <v>981</v>
      </c>
      <c r="B294" s="156" t="s">
        <v>315</v>
      </c>
      <c r="C294" s="337">
        <v>2237</v>
      </c>
      <c r="D294" s="276">
        <v>22</v>
      </c>
      <c r="E294" s="185"/>
      <c r="G294" s="278">
        <v>2190.72498</v>
      </c>
      <c r="H294" s="278">
        <v>15508.644490000001</v>
      </c>
      <c r="I294" s="278"/>
      <c r="J294" s="278">
        <v>8300.0316999999995</v>
      </c>
      <c r="K294" s="278">
        <v>433.81097999999997</v>
      </c>
      <c r="L294" s="278">
        <v>623.54479000000003</v>
      </c>
      <c r="M294" s="278">
        <v>9357.3874700000015</v>
      </c>
      <c r="N294" s="278">
        <v>4651.2749999999996</v>
      </c>
      <c r="O294" s="278">
        <v>4.0384599999999997</v>
      </c>
      <c r="P294" s="278">
        <v>6.5421400000000007</v>
      </c>
      <c r="Q294" s="278">
        <v>17.450189999999999</v>
      </c>
      <c r="R294" s="278">
        <v>1.9648699999999999</v>
      </c>
      <c r="S294" s="278">
        <v>703.72460000000001</v>
      </c>
      <c r="U294" s="278">
        <v>672.75198999999998</v>
      </c>
      <c r="V294" s="278">
        <v>0</v>
      </c>
      <c r="W294" s="278">
        <v>0</v>
      </c>
      <c r="X294" s="278">
        <v>30.97261</v>
      </c>
      <c r="Y294" s="278">
        <v>-12.68698</v>
      </c>
      <c r="Z294" s="278">
        <v>0</v>
      </c>
      <c r="AA294" s="278">
        <v>0</v>
      </c>
      <c r="AB294" s="278">
        <v>43.659589999999994</v>
      </c>
      <c r="AD294" s="278">
        <v>3813.3775599999999</v>
      </c>
      <c r="AE294" s="157">
        <v>1876.7306699999999</v>
      </c>
      <c r="AF294" s="184">
        <v>0.76795000000000002</v>
      </c>
      <c r="AG294" s="278">
        <v>-372.12524999999999</v>
      </c>
      <c r="AH294" s="278">
        <v>47.652500000000003</v>
      </c>
      <c r="AI294" s="184">
        <v>72.730980000000002</v>
      </c>
      <c r="AJ294" s="278">
        <v>2656.7022700000002</v>
      </c>
      <c r="AL294" s="278">
        <v>1373.23965</v>
      </c>
      <c r="AM294" s="184">
        <v>6.7275299999999998</v>
      </c>
      <c r="AN294" s="278">
        <v>-2076.38528</v>
      </c>
      <c r="AO294" s="355">
        <v>2207</v>
      </c>
      <c r="AP294" s="344">
        <v>9.36</v>
      </c>
      <c r="AQ294" s="462"/>
      <c r="AS294" s="469">
        <v>1844.32476</v>
      </c>
      <c r="AT294" s="278">
        <v>7293.9324000000006</v>
      </c>
      <c r="AU294" s="464"/>
      <c r="AV294" s="346">
        <v>4282.2257</v>
      </c>
      <c r="AW294" s="346">
        <v>240.45282999999998</v>
      </c>
      <c r="AX294" s="346">
        <v>639.34792000000004</v>
      </c>
      <c r="AY294" s="346">
        <v>5162.0264500000003</v>
      </c>
      <c r="AZ294" s="346">
        <v>1833.4770000000001</v>
      </c>
      <c r="BA294" s="278">
        <v>48.460999999999999</v>
      </c>
      <c r="BB294" s="345">
        <v>37.6325</v>
      </c>
      <c r="BC294" s="278">
        <v>26.9038</v>
      </c>
      <c r="BD294" s="278">
        <v>1.5910499999999999</v>
      </c>
      <c r="BE294" s="346">
        <v>1582.0370600000001</v>
      </c>
      <c r="BG294" s="343">
        <v>590.48431000000005</v>
      </c>
      <c r="BH294" s="343">
        <v>0</v>
      </c>
      <c r="BI294" s="343">
        <v>0</v>
      </c>
      <c r="BJ294" s="346">
        <v>991.55274999999995</v>
      </c>
      <c r="BK294" s="346">
        <v>-12.68698</v>
      </c>
      <c r="BL294" s="346">
        <v>0</v>
      </c>
      <c r="BM294" s="343">
        <v>0</v>
      </c>
      <c r="BN294" s="346">
        <v>1004.23973</v>
      </c>
      <c r="BP294" s="346">
        <v>4883.5584500000004</v>
      </c>
      <c r="BQ294" s="318">
        <v>1582.0370600000001</v>
      </c>
      <c r="BR294" s="278">
        <v>0</v>
      </c>
      <c r="BS294" s="475">
        <v>-787.68606999999997</v>
      </c>
      <c r="BT294" s="278">
        <v>0</v>
      </c>
      <c r="BU294" s="278">
        <v>-63.554480000000005</v>
      </c>
      <c r="BV294" s="345">
        <v>3891.10302</v>
      </c>
      <c r="BX294" s="278">
        <v>1350.086</v>
      </c>
      <c r="BY294" s="483">
        <v>6.1124399999999994</v>
      </c>
      <c r="BZ294" s="483">
        <v>-23.153650000000003</v>
      </c>
      <c r="CA294" s="260"/>
      <c r="CB294" s="347">
        <v>9.3000000000000007</v>
      </c>
      <c r="CC294" s="486">
        <f t="shared" si="4"/>
        <v>9.3000000000000007</v>
      </c>
      <c r="CD294" s="287"/>
      <c r="CE294" s="278"/>
      <c r="CF294" s="268"/>
      <c r="CI294" s="158">
        <v>0</v>
      </c>
      <c r="CJ294" s="343">
        <v>1747.3272215412771</v>
      </c>
      <c r="CK294" s="343">
        <v>1877.1097913289314</v>
      </c>
      <c r="CL294" s="343">
        <v>1522.4708613802854</v>
      </c>
      <c r="CM294" s="487">
        <v>1564.1431527708596</v>
      </c>
      <c r="CN294" s="487">
        <v>1778.7505068848654</v>
      </c>
      <c r="CO294" s="495">
        <v>-575.66800000000001</v>
      </c>
      <c r="CP294" s="299"/>
      <c r="CQ294" s="489">
        <v>0</v>
      </c>
      <c r="CR294" s="489">
        <v>0</v>
      </c>
    </row>
    <row r="295" spans="1:96" x14ac:dyDescent="0.2">
      <c r="A295" s="154">
        <v>989</v>
      </c>
      <c r="B295" s="156" t="s">
        <v>316</v>
      </c>
      <c r="C295" s="337">
        <v>5406</v>
      </c>
      <c r="D295" s="276">
        <v>22.499999999999996</v>
      </c>
      <c r="E295" s="185"/>
      <c r="G295" s="278">
        <v>4710.7644199999995</v>
      </c>
      <c r="H295" s="278">
        <v>45512.280679999996</v>
      </c>
      <c r="I295" s="278"/>
      <c r="J295" s="278">
        <v>19180.860059999999</v>
      </c>
      <c r="K295" s="278">
        <v>2421.5567799999999</v>
      </c>
      <c r="L295" s="278">
        <v>2159.14444</v>
      </c>
      <c r="M295" s="278">
        <v>23761.561280000002</v>
      </c>
      <c r="N295" s="278">
        <v>20001.627</v>
      </c>
      <c r="O295" s="278">
        <v>3.7978299999999998</v>
      </c>
      <c r="P295" s="278">
        <v>87.69211</v>
      </c>
      <c r="Q295" s="278">
        <v>699.51693999999998</v>
      </c>
      <c r="R295" s="278">
        <v>3.2630700000000004</v>
      </c>
      <c r="S295" s="278">
        <v>3574.03161</v>
      </c>
      <c r="U295" s="278">
        <v>1877.16642</v>
      </c>
      <c r="V295" s="278">
        <v>0</v>
      </c>
      <c r="W295" s="278">
        <v>0</v>
      </c>
      <c r="X295" s="278">
        <v>1696.86519</v>
      </c>
      <c r="Y295" s="278">
        <v>0</v>
      </c>
      <c r="Z295" s="278">
        <v>0</v>
      </c>
      <c r="AA295" s="278">
        <v>0</v>
      </c>
      <c r="AB295" s="278">
        <v>1696.86519</v>
      </c>
      <c r="AD295" s="278">
        <v>4287.0446700000002</v>
      </c>
      <c r="AE295" s="157">
        <v>3623.6583799999999</v>
      </c>
      <c r="AF295" s="184">
        <v>49.626769999999993</v>
      </c>
      <c r="AG295" s="278">
        <v>-6072.1039800000008</v>
      </c>
      <c r="AH295" s="278">
        <v>321.47159999999997</v>
      </c>
      <c r="AI295" s="184">
        <v>25.899750000000001</v>
      </c>
      <c r="AJ295" s="278">
        <v>427.74520000000001</v>
      </c>
      <c r="AL295" s="278">
        <v>24500</v>
      </c>
      <c r="AM295" s="184">
        <v>26.910070000000001</v>
      </c>
      <c r="AN295" s="278">
        <v>2000</v>
      </c>
      <c r="AO295" s="355">
        <v>5316</v>
      </c>
      <c r="AP295" s="344">
        <v>9.86</v>
      </c>
      <c r="AQ295" s="462"/>
      <c r="AS295" s="469">
        <v>3526.6526100000001</v>
      </c>
      <c r="AT295" s="278">
        <v>24848.777340000001</v>
      </c>
      <c r="AU295" s="464"/>
      <c r="AV295" s="346">
        <v>9451.9686799999999</v>
      </c>
      <c r="AW295" s="346">
        <v>1559.5719799999999</v>
      </c>
      <c r="AX295" s="346">
        <v>2160.41887</v>
      </c>
      <c r="AY295" s="346">
        <v>13171.95953</v>
      </c>
      <c r="AZ295" s="346">
        <v>2711.569</v>
      </c>
      <c r="BA295" s="278">
        <v>26.69605</v>
      </c>
      <c r="BB295" s="345">
        <v>1091.75532</v>
      </c>
      <c r="BC295" s="278">
        <v>510.51727</v>
      </c>
      <c r="BD295" s="278">
        <v>1.19981</v>
      </c>
      <c r="BE295" s="346">
        <v>-5828.4646399999992</v>
      </c>
      <c r="BG295" s="343">
        <v>1727.6126299999999</v>
      </c>
      <c r="BH295" s="343">
        <v>640.17642000000001</v>
      </c>
      <c r="BI295" s="343">
        <v>0</v>
      </c>
      <c r="BJ295" s="346">
        <v>-6915.90085</v>
      </c>
      <c r="BK295" s="346">
        <v>0</v>
      </c>
      <c r="BL295" s="343">
        <v>0</v>
      </c>
      <c r="BM295" s="343">
        <v>0</v>
      </c>
      <c r="BN295" s="346">
        <v>-6915.90085</v>
      </c>
      <c r="BP295" s="346">
        <v>-2628.8561799999998</v>
      </c>
      <c r="BQ295" s="318">
        <v>2468.3469</v>
      </c>
      <c r="BR295" s="278">
        <v>-5.7683200000000001</v>
      </c>
      <c r="BS295" s="475">
        <v>-17904.296890000001</v>
      </c>
      <c r="BT295" s="278">
        <v>451.39299999999997</v>
      </c>
      <c r="BU295" s="278">
        <v>465.35897999999997</v>
      </c>
      <c r="BV295" s="345">
        <v>3079.7714000000001</v>
      </c>
      <c r="BX295" s="278">
        <v>41612.01453</v>
      </c>
      <c r="BY295" s="483">
        <v>-39.220330000000004</v>
      </c>
      <c r="BZ295" s="483">
        <v>17112.01453</v>
      </c>
      <c r="CA295" s="260"/>
      <c r="CB295" s="347">
        <v>10.1</v>
      </c>
      <c r="CC295" s="486">
        <f t="shared" si="4"/>
        <v>10.1</v>
      </c>
      <c r="CD295" s="287"/>
      <c r="CE295" s="278"/>
      <c r="CF295" s="268"/>
      <c r="CI295" s="158">
        <v>0</v>
      </c>
      <c r="CJ295" s="343">
        <v>2172.1857514615972</v>
      </c>
      <c r="CK295" s="343">
        <v>2673.2250940128201</v>
      </c>
      <c r="CL295" s="343">
        <v>2373.1525839300039</v>
      </c>
      <c r="CM295" s="487">
        <v>2409.6609194245702</v>
      </c>
      <c r="CN295" s="487">
        <v>3208.1171575083299</v>
      </c>
      <c r="CO295" s="495">
        <v>-387.11599999999999</v>
      </c>
      <c r="CP295" s="299"/>
      <c r="CQ295" s="489">
        <v>0</v>
      </c>
      <c r="CR295" s="489">
        <v>165.87336999999999</v>
      </c>
    </row>
    <row r="296" spans="1:96" x14ac:dyDescent="0.2">
      <c r="A296" s="154">
        <v>992</v>
      </c>
      <c r="B296" s="156" t="s">
        <v>317</v>
      </c>
      <c r="C296" s="337">
        <v>18120</v>
      </c>
      <c r="D296" s="276">
        <v>21.5</v>
      </c>
      <c r="E296" s="185"/>
      <c r="G296" s="278">
        <v>20560.989269999998</v>
      </c>
      <c r="H296" s="278">
        <v>152420.61074999999</v>
      </c>
      <c r="I296" s="278"/>
      <c r="J296" s="278">
        <v>64346.542000000001</v>
      </c>
      <c r="K296" s="278">
        <v>9705.1167100000002</v>
      </c>
      <c r="L296" s="278">
        <v>5437.5080900000003</v>
      </c>
      <c r="M296" s="278">
        <v>79489.166799999992</v>
      </c>
      <c r="N296" s="278">
        <v>52252.843999999997</v>
      </c>
      <c r="O296" s="278">
        <v>643.17789000000005</v>
      </c>
      <c r="P296" s="278">
        <v>813.09245999999996</v>
      </c>
      <c r="Q296" s="278">
        <v>524.16784000000007</v>
      </c>
      <c r="R296" s="278">
        <v>16.095050000000001</v>
      </c>
      <c r="S296" s="278">
        <v>221.01904999999999</v>
      </c>
      <c r="U296" s="278">
        <v>8240.7412899999999</v>
      </c>
      <c r="V296" s="278">
        <v>0</v>
      </c>
      <c r="W296" s="278">
        <v>0</v>
      </c>
      <c r="X296" s="278">
        <v>-8019.7222400000001</v>
      </c>
      <c r="Y296" s="278">
        <v>-13.907530000000001</v>
      </c>
      <c r="Z296" s="278">
        <v>0</v>
      </c>
      <c r="AA296" s="278">
        <v>0</v>
      </c>
      <c r="AB296" s="278">
        <v>-8005.8147099999996</v>
      </c>
      <c r="AD296" s="278">
        <v>3006.2266800000007</v>
      </c>
      <c r="AE296" s="157">
        <v>-1439.7921799999999</v>
      </c>
      <c r="AF296" s="184">
        <v>-1660.8114699999999</v>
      </c>
      <c r="AG296" s="278">
        <v>-7966.7689700000001</v>
      </c>
      <c r="AH296" s="278">
        <v>367.78399999999999</v>
      </c>
      <c r="AI296" s="184">
        <v>136.67160000000001</v>
      </c>
      <c r="AJ296" s="278">
        <v>2279.7925599999999</v>
      </c>
      <c r="AL296" s="278">
        <v>73312.491999999998</v>
      </c>
      <c r="AM296" s="184">
        <v>16.8188</v>
      </c>
      <c r="AN296" s="278">
        <v>2055.7179999999998</v>
      </c>
      <c r="AO296" s="355">
        <v>17971</v>
      </c>
      <c r="AP296" s="344">
        <v>8.86</v>
      </c>
      <c r="AQ296" s="462"/>
      <c r="AS296" s="469">
        <v>13938.012990000001</v>
      </c>
      <c r="AT296" s="278">
        <v>63959.610390000002</v>
      </c>
      <c r="AU296" s="464"/>
      <c r="AV296" s="346">
        <v>33159.53383</v>
      </c>
      <c r="AW296" s="346">
        <v>6769.6499599999997</v>
      </c>
      <c r="AX296" s="346">
        <v>6023.71569</v>
      </c>
      <c r="AY296" s="346">
        <v>45952.89948</v>
      </c>
      <c r="AZ296" s="346">
        <v>15593.602999999999</v>
      </c>
      <c r="BA296" s="278">
        <v>979.16714999999999</v>
      </c>
      <c r="BB296" s="345">
        <v>881.83950000000004</v>
      </c>
      <c r="BC296" s="278">
        <v>2155.4537999999998</v>
      </c>
      <c r="BD296" s="278">
        <v>4.625</v>
      </c>
      <c r="BE296" s="346">
        <v>13773.061529999999</v>
      </c>
      <c r="BG296" s="343">
        <v>9216.1491100000003</v>
      </c>
      <c r="BH296" s="343">
        <v>0</v>
      </c>
      <c r="BI296" s="343">
        <v>0</v>
      </c>
      <c r="BJ296" s="346">
        <v>4556.9124199999997</v>
      </c>
      <c r="BK296" s="343">
        <v>-13.907530000000001</v>
      </c>
      <c r="BL296" s="343">
        <v>0</v>
      </c>
      <c r="BM296" s="343">
        <v>0</v>
      </c>
      <c r="BN296" s="346">
        <v>4570.8199500000001</v>
      </c>
      <c r="BP296" s="346">
        <v>7577.0466300000007</v>
      </c>
      <c r="BQ296" s="318">
        <v>13806.429699999999</v>
      </c>
      <c r="BR296" s="278">
        <v>33.368169999999999</v>
      </c>
      <c r="BS296" s="475">
        <v>-6366.6783099999993</v>
      </c>
      <c r="BT296" s="278">
        <v>92.6</v>
      </c>
      <c r="BU296" s="278">
        <v>237.05655999999999</v>
      </c>
      <c r="BV296" s="345">
        <v>1952.4306299999998</v>
      </c>
      <c r="BX296" s="278">
        <v>73168.209999999992</v>
      </c>
      <c r="BY296" s="483">
        <v>0</v>
      </c>
      <c r="BZ296" s="483">
        <v>-144.28200000000001</v>
      </c>
      <c r="CA296" s="260"/>
      <c r="CB296" s="347">
        <v>9.4</v>
      </c>
      <c r="CC296" s="486">
        <f t="shared" si="4"/>
        <v>9.4</v>
      </c>
      <c r="CD296" s="287"/>
      <c r="CE296" s="278"/>
      <c r="CF296" s="268"/>
      <c r="CG296" s="266"/>
      <c r="CI296" s="158">
        <v>0</v>
      </c>
      <c r="CJ296" s="343">
        <v>10211.773507757584</v>
      </c>
      <c r="CK296" s="343">
        <v>10854.732867535557</v>
      </c>
      <c r="CL296" s="343">
        <v>9719.5251629389059</v>
      </c>
      <c r="CM296" s="487">
        <v>9648.3583621165562</v>
      </c>
      <c r="CN296" s="487">
        <v>11061.504283524975</v>
      </c>
      <c r="CO296" s="495">
        <v>-714.98099999999999</v>
      </c>
      <c r="CP296" s="299"/>
      <c r="CQ296" s="489">
        <v>0</v>
      </c>
      <c r="CR296" s="489">
        <v>0</v>
      </c>
    </row>
    <row r="297" spans="1:96" x14ac:dyDescent="0.2">
      <c r="C297" s="156"/>
      <c r="D297" s="169"/>
      <c r="E297" s="185"/>
      <c r="AP297" s="275"/>
      <c r="AQ297" s="460"/>
      <c r="BQ297" s="278"/>
      <c r="CA297" s="260"/>
      <c r="CB297" s="287"/>
      <c r="CC297" s="486"/>
      <c r="CD297" s="289"/>
      <c r="CE297" s="169"/>
      <c r="CF297" s="174"/>
      <c r="CH297" s="170"/>
      <c r="CI297" s="170"/>
      <c r="CJ297" s="488"/>
      <c r="CK297" s="266"/>
      <c r="CL297" s="266"/>
      <c r="CM297" s="266"/>
      <c r="CN297" s="266"/>
    </row>
    <row r="298" spans="1:96" x14ac:dyDescent="0.2">
      <c r="C298" s="156"/>
      <c r="BQ298" s="278"/>
      <c r="CK298" s="266"/>
      <c r="CL298" s="266"/>
      <c r="CM298" s="266"/>
      <c r="CN298" s="266"/>
    </row>
    <row r="299" spans="1:96" x14ac:dyDescent="0.2">
      <c r="C299" s="156"/>
      <c r="AJ299" s="175"/>
      <c r="BQ299" s="278"/>
      <c r="BV299" s="322"/>
      <c r="CK299" s="266"/>
      <c r="CL299" s="266"/>
      <c r="CM299" s="266"/>
      <c r="CN299" s="266"/>
    </row>
    <row r="300" spans="1:96" x14ac:dyDescent="0.2">
      <c r="C300" s="156"/>
      <c r="AJ300" s="175"/>
      <c r="BQ300" s="278"/>
      <c r="BV300" s="322"/>
      <c r="CK300" s="266"/>
      <c r="CL300" s="266"/>
      <c r="CM300" s="266"/>
      <c r="CN300" s="266"/>
    </row>
    <row r="301" spans="1:96" x14ac:dyDescent="0.2">
      <c r="BQ301" s="278"/>
    </row>
    <row r="302" spans="1:96" x14ac:dyDescent="0.2">
      <c r="BQ302" s="278"/>
    </row>
    <row r="303" spans="1:96" x14ac:dyDescent="0.2">
      <c r="BQ303" s="278"/>
    </row>
    <row r="304" spans="1:96" x14ac:dyDescent="0.2">
      <c r="BQ304" s="278"/>
    </row>
    <row r="305" spans="69:69" x14ac:dyDescent="0.2">
      <c r="BQ305" s="278"/>
    </row>
    <row r="306" spans="69:69" x14ac:dyDescent="0.2">
      <c r="BQ306" s="278"/>
    </row>
    <row r="307" spans="69:69" x14ac:dyDescent="0.2">
      <c r="BQ307" s="278"/>
    </row>
    <row r="308" spans="69:69" x14ac:dyDescent="0.2">
      <c r="BQ308" s="278"/>
    </row>
    <row r="309" spans="69:69" x14ac:dyDescent="0.2">
      <c r="BQ309" s="278"/>
    </row>
    <row r="310" spans="69:69" x14ac:dyDescent="0.2">
      <c r="BQ310" s="278"/>
    </row>
    <row r="311" spans="69:69" x14ac:dyDescent="0.2">
      <c r="BQ311" s="278"/>
    </row>
    <row r="312" spans="69:69" x14ac:dyDescent="0.2">
      <c r="BQ312" s="278"/>
    </row>
    <row r="313" spans="69:69" x14ac:dyDescent="0.2">
      <c r="BQ313" s="278"/>
    </row>
    <row r="314" spans="69:69" x14ac:dyDescent="0.2">
      <c r="BQ314" s="278"/>
    </row>
    <row r="315" spans="69:69" x14ac:dyDescent="0.2">
      <c r="BQ315" s="278"/>
    </row>
    <row r="316" spans="69:69" x14ac:dyDescent="0.2">
      <c r="BQ316" s="278"/>
    </row>
    <row r="317" spans="69:69" x14ac:dyDescent="0.2">
      <c r="BQ317" s="278"/>
    </row>
    <row r="318" spans="69:69" x14ac:dyDescent="0.2">
      <c r="BQ318" s="278"/>
    </row>
    <row r="319" spans="69:69" x14ac:dyDescent="0.2">
      <c r="BQ319" s="278"/>
    </row>
    <row r="320" spans="69:69" x14ac:dyDescent="0.2">
      <c r="BQ320" s="278"/>
    </row>
    <row r="321" spans="69:69" x14ac:dyDescent="0.2">
      <c r="BQ321" s="278"/>
    </row>
    <row r="322" spans="69:69" x14ac:dyDescent="0.2">
      <c r="BQ322" s="278"/>
    </row>
    <row r="323" spans="69:69" x14ac:dyDescent="0.2">
      <c r="BQ323" s="278"/>
    </row>
    <row r="324" spans="69:69" x14ac:dyDescent="0.2">
      <c r="BQ324" s="278"/>
    </row>
    <row r="325" spans="69:69" x14ac:dyDescent="0.2">
      <c r="BQ325" s="278"/>
    </row>
    <row r="326" spans="69:69" x14ac:dyDescent="0.2">
      <c r="BQ326" s="278"/>
    </row>
    <row r="327" spans="69:69" x14ac:dyDescent="0.2">
      <c r="BQ327" s="278"/>
    </row>
    <row r="328" spans="69:69" x14ac:dyDescent="0.2">
      <c r="BQ328" s="278"/>
    </row>
    <row r="329" spans="69:69" x14ac:dyDescent="0.2">
      <c r="BQ329" s="278"/>
    </row>
    <row r="330" spans="69:69" x14ac:dyDescent="0.2">
      <c r="BQ330" s="278"/>
    </row>
    <row r="331" spans="69:69" x14ac:dyDescent="0.2">
      <c r="BQ331" s="278"/>
    </row>
    <row r="332" spans="69:69" x14ac:dyDescent="0.2">
      <c r="BQ332" s="278"/>
    </row>
    <row r="333" spans="69:69" x14ac:dyDescent="0.2">
      <c r="BQ333" s="278"/>
    </row>
    <row r="334" spans="69:69" x14ac:dyDescent="0.2">
      <c r="BQ334" s="278"/>
    </row>
    <row r="335" spans="69:69" x14ac:dyDescent="0.2">
      <c r="BQ335" s="278"/>
    </row>
    <row r="336" spans="69:69" x14ac:dyDescent="0.2">
      <c r="BQ336" s="278"/>
    </row>
    <row r="337" spans="69:69" x14ac:dyDescent="0.2">
      <c r="BQ337" s="278"/>
    </row>
    <row r="338" spans="69:69" x14ac:dyDescent="0.2">
      <c r="BQ338" s="278"/>
    </row>
    <row r="339" spans="69:69" x14ac:dyDescent="0.2">
      <c r="BQ339" s="278"/>
    </row>
    <row r="340" spans="69:69" x14ac:dyDescent="0.2">
      <c r="BQ340" s="278"/>
    </row>
    <row r="341" spans="69:69" x14ac:dyDescent="0.2">
      <c r="BQ341" s="278"/>
    </row>
    <row r="342" spans="69:69" x14ac:dyDescent="0.2">
      <c r="BQ342" s="278"/>
    </row>
    <row r="343" spans="69:69" x14ac:dyDescent="0.2">
      <c r="BQ343" s="278"/>
    </row>
    <row r="344" spans="69:69" x14ac:dyDescent="0.2">
      <c r="BQ344" s="278"/>
    </row>
    <row r="345" spans="69:69" x14ac:dyDescent="0.2">
      <c r="BQ345" s="278"/>
    </row>
    <row r="346" spans="69:69" x14ac:dyDescent="0.2">
      <c r="BQ346" s="278"/>
    </row>
    <row r="347" spans="69:69" x14ac:dyDescent="0.2">
      <c r="BQ347" s="278"/>
    </row>
    <row r="348" spans="69:69" x14ac:dyDescent="0.2">
      <c r="BQ348" s="278"/>
    </row>
    <row r="349" spans="69:69" x14ac:dyDescent="0.2">
      <c r="BQ349" s="278"/>
    </row>
    <row r="350" spans="69:69" x14ac:dyDescent="0.2">
      <c r="BQ350" s="278"/>
    </row>
    <row r="351" spans="69:69" x14ac:dyDescent="0.2">
      <c r="BQ351" s="278"/>
    </row>
    <row r="352" spans="69:69" x14ac:dyDescent="0.2">
      <c r="BQ352" s="278"/>
    </row>
    <row r="353" spans="69:69" x14ac:dyDescent="0.2">
      <c r="BQ353" s="278"/>
    </row>
    <row r="354" spans="69:69" x14ac:dyDescent="0.2">
      <c r="BQ354" s="278"/>
    </row>
    <row r="355" spans="69:69" x14ac:dyDescent="0.2">
      <c r="BQ355" s="278"/>
    </row>
    <row r="356" spans="69:69" x14ac:dyDescent="0.2">
      <c r="BQ356" s="278"/>
    </row>
    <row r="357" spans="69:69" x14ac:dyDescent="0.2">
      <c r="BQ357" s="278"/>
    </row>
    <row r="358" spans="69:69" x14ac:dyDescent="0.2">
      <c r="BQ358" s="278"/>
    </row>
    <row r="359" spans="69:69" x14ac:dyDescent="0.2">
      <c r="BQ359" s="278"/>
    </row>
    <row r="360" spans="69:69" x14ac:dyDescent="0.2">
      <c r="BQ360" s="278"/>
    </row>
    <row r="361" spans="69:69" x14ac:dyDescent="0.2">
      <c r="BQ361" s="278"/>
    </row>
    <row r="362" spans="69:69" x14ac:dyDescent="0.2">
      <c r="BQ362" s="278"/>
    </row>
    <row r="363" spans="69:69" x14ac:dyDescent="0.2">
      <c r="BQ363" s="278"/>
    </row>
    <row r="364" spans="69:69" x14ac:dyDescent="0.2">
      <c r="BQ364" s="278"/>
    </row>
    <row r="365" spans="69:69" x14ac:dyDescent="0.2">
      <c r="BQ365" s="278"/>
    </row>
    <row r="366" spans="69:69" x14ac:dyDescent="0.2">
      <c r="BQ366" s="278"/>
    </row>
    <row r="367" spans="69:69" x14ac:dyDescent="0.2">
      <c r="BQ367" s="278"/>
    </row>
    <row r="368" spans="69:69" x14ac:dyDescent="0.2">
      <c r="BQ368" s="278"/>
    </row>
    <row r="369" spans="69:69" x14ac:dyDescent="0.2">
      <c r="BQ369" s="278"/>
    </row>
    <row r="370" spans="69:69" x14ac:dyDescent="0.2">
      <c r="BQ370" s="278"/>
    </row>
    <row r="371" spans="69:69" x14ac:dyDescent="0.2">
      <c r="BQ371" s="278"/>
    </row>
    <row r="372" spans="69:69" x14ac:dyDescent="0.2">
      <c r="BQ372" s="278"/>
    </row>
    <row r="373" spans="69:69" x14ac:dyDescent="0.2">
      <c r="BQ373" s="278"/>
    </row>
    <row r="374" spans="69:69" x14ac:dyDescent="0.2">
      <c r="BQ374" s="278"/>
    </row>
    <row r="375" spans="69:69" x14ac:dyDescent="0.2">
      <c r="BQ375" s="278"/>
    </row>
    <row r="376" spans="69:69" x14ac:dyDescent="0.2">
      <c r="BQ376" s="278"/>
    </row>
    <row r="377" spans="69:69" x14ac:dyDescent="0.2">
      <c r="BQ377" s="278"/>
    </row>
    <row r="378" spans="69:69" x14ac:dyDescent="0.2">
      <c r="BQ378" s="278"/>
    </row>
    <row r="379" spans="69:69" x14ac:dyDescent="0.2">
      <c r="BQ379" s="278"/>
    </row>
    <row r="380" spans="69:69" x14ac:dyDescent="0.2">
      <c r="BQ380" s="278"/>
    </row>
    <row r="381" spans="69:69" x14ac:dyDescent="0.2">
      <c r="BQ381" s="278"/>
    </row>
    <row r="382" spans="69:69" x14ac:dyDescent="0.2">
      <c r="BQ382" s="278"/>
    </row>
    <row r="383" spans="69:69" x14ac:dyDescent="0.2">
      <c r="BQ383" s="278"/>
    </row>
    <row r="384" spans="69:69" x14ac:dyDescent="0.2">
      <c r="BQ384" s="278"/>
    </row>
    <row r="385" spans="69:69" x14ac:dyDescent="0.2">
      <c r="BQ385" s="278"/>
    </row>
    <row r="386" spans="69:69" x14ac:dyDescent="0.2">
      <c r="BQ386" s="278"/>
    </row>
    <row r="387" spans="69:69" x14ac:dyDescent="0.2">
      <c r="BQ387" s="278"/>
    </row>
    <row r="388" spans="69:69" x14ac:dyDescent="0.2">
      <c r="BQ388" s="278"/>
    </row>
    <row r="389" spans="69:69" x14ac:dyDescent="0.2">
      <c r="BQ389" s="278"/>
    </row>
    <row r="390" spans="69:69" x14ac:dyDescent="0.2">
      <c r="BQ390" s="278"/>
    </row>
    <row r="391" spans="69:69" x14ac:dyDescent="0.2">
      <c r="BQ391" s="278"/>
    </row>
    <row r="392" spans="69:69" x14ac:dyDescent="0.2">
      <c r="BQ392" s="278"/>
    </row>
    <row r="393" spans="69:69" x14ac:dyDescent="0.2">
      <c r="BQ393" s="278"/>
    </row>
    <row r="394" spans="69:69" x14ac:dyDescent="0.2">
      <c r="BQ394" s="278"/>
    </row>
    <row r="395" spans="69:69" x14ac:dyDescent="0.2">
      <c r="BQ395" s="278"/>
    </row>
    <row r="396" spans="69:69" x14ac:dyDescent="0.2">
      <c r="BQ396" s="278"/>
    </row>
    <row r="397" spans="69:69" x14ac:dyDescent="0.2">
      <c r="BQ397" s="278"/>
    </row>
    <row r="398" spans="69:69" x14ac:dyDescent="0.2">
      <c r="BQ398" s="278"/>
    </row>
    <row r="399" spans="69:69" x14ac:dyDescent="0.2">
      <c r="BQ399" s="278"/>
    </row>
    <row r="400" spans="69:69" x14ac:dyDescent="0.2">
      <c r="BQ400" s="278"/>
    </row>
    <row r="401" spans="69:69" x14ac:dyDescent="0.2">
      <c r="BQ401" s="278"/>
    </row>
    <row r="402" spans="69:69" x14ac:dyDescent="0.2">
      <c r="BQ402" s="278"/>
    </row>
    <row r="403" spans="69:69" x14ac:dyDescent="0.2">
      <c r="BQ403" s="278"/>
    </row>
    <row r="404" spans="69:69" x14ac:dyDescent="0.2">
      <c r="BQ404" s="278"/>
    </row>
    <row r="405" spans="69:69" x14ac:dyDescent="0.2">
      <c r="BQ405" s="278"/>
    </row>
    <row r="406" spans="69:69" x14ac:dyDescent="0.2">
      <c r="BQ406" s="278"/>
    </row>
    <row r="407" spans="69:69" x14ac:dyDescent="0.2">
      <c r="BQ407" s="278"/>
    </row>
    <row r="408" spans="69:69" x14ac:dyDescent="0.2">
      <c r="BQ408" s="278"/>
    </row>
    <row r="409" spans="69:69" x14ac:dyDescent="0.2">
      <c r="BQ409" s="278"/>
    </row>
    <row r="410" spans="69:69" x14ac:dyDescent="0.2">
      <c r="BQ410" s="278"/>
    </row>
    <row r="411" spans="69:69" x14ac:dyDescent="0.2">
      <c r="BQ411" s="278"/>
    </row>
    <row r="412" spans="69:69" x14ac:dyDescent="0.2">
      <c r="BQ412" s="278"/>
    </row>
    <row r="413" spans="69:69" x14ac:dyDescent="0.2">
      <c r="BQ413" s="278"/>
    </row>
    <row r="414" spans="69:69" x14ac:dyDescent="0.2">
      <c r="BQ414" s="278"/>
    </row>
    <row r="415" spans="69:69" x14ac:dyDescent="0.2">
      <c r="BQ415" s="278"/>
    </row>
    <row r="416" spans="69:69" x14ac:dyDescent="0.2">
      <c r="BQ416" s="278"/>
    </row>
    <row r="417" spans="69:69" x14ac:dyDescent="0.2">
      <c r="BQ417" s="278"/>
    </row>
    <row r="418" spans="69:69" x14ac:dyDescent="0.2">
      <c r="BQ418" s="278"/>
    </row>
    <row r="419" spans="69:69" x14ac:dyDescent="0.2">
      <c r="BQ419" s="278"/>
    </row>
    <row r="420" spans="69:69" x14ac:dyDescent="0.2">
      <c r="BQ420" s="278"/>
    </row>
    <row r="421" spans="69:69" x14ac:dyDescent="0.2">
      <c r="BQ421" s="278"/>
    </row>
    <row r="422" spans="69:69" x14ac:dyDescent="0.2">
      <c r="BQ422" s="278"/>
    </row>
    <row r="423" spans="69:69" x14ac:dyDescent="0.2">
      <c r="BQ423" s="278"/>
    </row>
    <row r="424" spans="69:69" x14ac:dyDescent="0.2">
      <c r="BQ424" s="278"/>
    </row>
    <row r="425" spans="69:69" x14ac:dyDescent="0.2">
      <c r="BQ425" s="278"/>
    </row>
    <row r="426" spans="69:69" x14ac:dyDescent="0.2">
      <c r="BQ426" s="278"/>
    </row>
    <row r="427" spans="69:69" x14ac:dyDescent="0.2">
      <c r="BQ427" s="278"/>
    </row>
    <row r="428" spans="69:69" x14ac:dyDescent="0.2">
      <c r="BQ428" s="278"/>
    </row>
    <row r="429" spans="69:69" x14ac:dyDescent="0.2">
      <c r="BQ429" s="278"/>
    </row>
    <row r="430" spans="69:69" x14ac:dyDescent="0.2">
      <c r="BQ430" s="278"/>
    </row>
    <row r="431" spans="69:69" x14ac:dyDescent="0.2">
      <c r="BQ431" s="278"/>
    </row>
    <row r="432" spans="69:69" x14ac:dyDescent="0.2">
      <c r="BQ432" s="278"/>
    </row>
    <row r="433" spans="69:69" x14ac:dyDescent="0.2">
      <c r="BQ433" s="278"/>
    </row>
    <row r="434" spans="69:69" x14ac:dyDescent="0.2">
      <c r="BQ434" s="278"/>
    </row>
    <row r="435" spans="69:69" x14ac:dyDescent="0.2">
      <c r="BQ435" s="278"/>
    </row>
    <row r="436" spans="69:69" x14ac:dyDescent="0.2">
      <c r="BQ436" s="278"/>
    </row>
    <row r="437" spans="69:69" x14ac:dyDescent="0.2">
      <c r="BQ437" s="278"/>
    </row>
    <row r="438" spans="69:69" x14ac:dyDescent="0.2">
      <c r="BQ438" s="278"/>
    </row>
    <row r="439" spans="69:69" x14ac:dyDescent="0.2">
      <c r="BQ439" s="278"/>
    </row>
    <row r="440" spans="69:69" x14ac:dyDescent="0.2">
      <c r="BQ440" s="278"/>
    </row>
    <row r="441" spans="69:69" x14ac:dyDescent="0.2">
      <c r="BQ441" s="278"/>
    </row>
    <row r="442" spans="69:69" x14ac:dyDescent="0.2">
      <c r="BQ442" s="278"/>
    </row>
    <row r="443" spans="69:69" x14ac:dyDescent="0.2">
      <c r="BQ443" s="278"/>
    </row>
    <row r="444" spans="69:69" x14ac:dyDescent="0.2">
      <c r="BQ444" s="278"/>
    </row>
    <row r="445" spans="69:69" x14ac:dyDescent="0.2">
      <c r="BQ445" s="278"/>
    </row>
    <row r="446" spans="69:69" x14ac:dyDescent="0.2">
      <c r="BQ446" s="278"/>
    </row>
    <row r="447" spans="69:69" x14ac:dyDescent="0.2">
      <c r="BQ447" s="278"/>
    </row>
    <row r="448" spans="69:69" x14ac:dyDescent="0.2">
      <c r="BQ448" s="278"/>
    </row>
    <row r="449" spans="69:69" x14ac:dyDescent="0.2">
      <c r="BQ449" s="278"/>
    </row>
    <row r="450" spans="69:69" x14ac:dyDescent="0.2">
      <c r="BQ450" s="278"/>
    </row>
    <row r="451" spans="69:69" x14ac:dyDescent="0.2">
      <c r="BQ451" s="278"/>
    </row>
    <row r="452" spans="69:69" x14ac:dyDescent="0.2">
      <c r="BQ452" s="278"/>
    </row>
    <row r="453" spans="69:69" x14ac:dyDescent="0.2">
      <c r="BQ453" s="278"/>
    </row>
    <row r="454" spans="69:69" x14ac:dyDescent="0.2">
      <c r="BQ454" s="278"/>
    </row>
    <row r="455" spans="69:69" x14ac:dyDescent="0.2">
      <c r="BQ455" s="278"/>
    </row>
    <row r="456" spans="69:69" x14ac:dyDescent="0.2">
      <c r="BQ456" s="278"/>
    </row>
    <row r="457" spans="69:69" x14ac:dyDescent="0.2">
      <c r="BQ457" s="278"/>
    </row>
    <row r="458" spans="69:69" x14ac:dyDescent="0.2">
      <c r="BQ458" s="278"/>
    </row>
    <row r="459" spans="69:69" x14ac:dyDescent="0.2">
      <c r="BQ459" s="278"/>
    </row>
    <row r="460" spans="69:69" x14ac:dyDescent="0.2">
      <c r="BQ460" s="278"/>
    </row>
    <row r="461" spans="69:69" x14ac:dyDescent="0.2">
      <c r="BQ461" s="278"/>
    </row>
    <row r="462" spans="69:69" x14ac:dyDescent="0.2">
      <c r="BQ462" s="278"/>
    </row>
    <row r="463" spans="69:69" x14ac:dyDescent="0.2">
      <c r="BQ463" s="278"/>
    </row>
    <row r="464" spans="69:69" x14ac:dyDescent="0.2">
      <c r="BQ464" s="278"/>
    </row>
    <row r="465" spans="69:69" x14ac:dyDescent="0.2">
      <c r="BQ465" s="278"/>
    </row>
    <row r="466" spans="69:69" x14ac:dyDescent="0.2">
      <c r="BQ466" s="278"/>
    </row>
    <row r="467" spans="69:69" x14ac:dyDescent="0.2">
      <c r="BQ467" s="278"/>
    </row>
    <row r="468" spans="69:69" x14ac:dyDescent="0.2">
      <c r="BQ468" s="278"/>
    </row>
    <row r="469" spans="69:69" x14ac:dyDescent="0.2">
      <c r="BQ469" s="278"/>
    </row>
    <row r="470" spans="69:69" x14ac:dyDescent="0.2">
      <c r="BQ470" s="278"/>
    </row>
    <row r="471" spans="69:69" x14ac:dyDescent="0.2">
      <c r="BQ471" s="278"/>
    </row>
    <row r="472" spans="69:69" x14ac:dyDescent="0.2">
      <c r="BQ472" s="278"/>
    </row>
    <row r="473" spans="69:69" x14ac:dyDescent="0.2">
      <c r="BQ473" s="278"/>
    </row>
    <row r="474" spans="69:69" x14ac:dyDescent="0.2">
      <c r="BQ474" s="278"/>
    </row>
    <row r="475" spans="69:69" x14ac:dyDescent="0.2">
      <c r="BQ475" s="278"/>
    </row>
    <row r="476" spans="69:69" x14ac:dyDescent="0.2">
      <c r="BQ476" s="278"/>
    </row>
    <row r="477" spans="69:69" x14ac:dyDescent="0.2">
      <c r="BQ477" s="278"/>
    </row>
    <row r="478" spans="69:69" x14ac:dyDescent="0.2">
      <c r="BQ478" s="278"/>
    </row>
    <row r="479" spans="69:69" x14ac:dyDescent="0.2">
      <c r="BQ479" s="278"/>
    </row>
    <row r="480" spans="69:69" x14ac:dyDescent="0.2">
      <c r="BQ480" s="278"/>
    </row>
    <row r="481" spans="69:69" x14ac:dyDescent="0.2">
      <c r="BQ481" s="278"/>
    </row>
    <row r="482" spans="69:69" x14ac:dyDescent="0.2">
      <c r="BQ482" s="278"/>
    </row>
    <row r="483" spans="69:69" x14ac:dyDescent="0.2">
      <c r="BQ483" s="278"/>
    </row>
    <row r="484" spans="69:69" x14ac:dyDescent="0.2">
      <c r="BQ484" s="278"/>
    </row>
    <row r="485" spans="69:69" x14ac:dyDescent="0.2">
      <c r="BQ485" s="278"/>
    </row>
    <row r="486" spans="69:69" x14ac:dyDescent="0.2">
      <c r="BQ486" s="278"/>
    </row>
    <row r="487" spans="69:69" x14ac:dyDescent="0.2">
      <c r="BQ487" s="278"/>
    </row>
    <row r="488" spans="69:69" x14ac:dyDescent="0.2">
      <c r="BQ488" s="278"/>
    </row>
    <row r="489" spans="69:69" x14ac:dyDescent="0.2">
      <c r="BQ489" s="278"/>
    </row>
    <row r="490" spans="69:69" x14ac:dyDescent="0.2">
      <c r="BQ490" s="278"/>
    </row>
    <row r="491" spans="69:69" x14ac:dyDescent="0.2">
      <c r="BQ491" s="278"/>
    </row>
    <row r="492" spans="69:69" x14ac:dyDescent="0.2">
      <c r="BQ492" s="278"/>
    </row>
    <row r="493" spans="69:69" x14ac:dyDescent="0.2">
      <c r="BQ493" s="278"/>
    </row>
    <row r="494" spans="69:69" x14ac:dyDescent="0.2">
      <c r="BQ494" s="278"/>
    </row>
    <row r="495" spans="69:69" x14ac:dyDescent="0.2">
      <c r="BQ495" s="278"/>
    </row>
    <row r="496" spans="69:69" x14ac:dyDescent="0.2">
      <c r="BQ496" s="278"/>
    </row>
    <row r="497" spans="69:69" x14ac:dyDescent="0.2">
      <c r="BQ497" s="278"/>
    </row>
    <row r="498" spans="69:69" x14ac:dyDescent="0.2">
      <c r="BQ498" s="278"/>
    </row>
    <row r="499" spans="69:69" x14ac:dyDescent="0.2">
      <c r="BQ499" s="278"/>
    </row>
    <row r="500" spans="69:69" x14ac:dyDescent="0.2">
      <c r="BQ500" s="278"/>
    </row>
    <row r="501" spans="69:69" x14ac:dyDescent="0.2">
      <c r="BQ501" s="278"/>
    </row>
    <row r="502" spans="69:69" x14ac:dyDescent="0.2">
      <c r="BQ502" s="278"/>
    </row>
    <row r="503" spans="69:69" x14ac:dyDescent="0.2">
      <c r="BQ503" s="278"/>
    </row>
    <row r="504" spans="69:69" x14ac:dyDescent="0.2">
      <c r="BQ504" s="278"/>
    </row>
    <row r="505" spans="69:69" x14ac:dyDescent="0.2">
      <c r="BQ505" s="278"/>
    </row>
    <row r="506" spans="69:69" x14ac:dyDescent="0.2">
      <c r="BQ506" s="278"/>
    </row>
    <row r="507" spans="69:69" x14ac:dyDescent="0.2">
      <c r="BQ507" s="278"/>
    </row>
    <row r="508" spans="69:69" x14ac:dyDescent="0.2">
      <c r="BQ508" s="278"/>
    </row>
    <row r="509" spans="69:69" x14ac:dyDescent="0.2">
      <c r="BQ509" s="278"/>
    </row>
    <row r="510" spans="69:69" x14ac:dyDescent="0.2">
      <c r="BQ510" s="278"/>
    </row>
    <row r="511" spans="69:69" x14ac:dyDescent="0.2">
      <c r="BQ511" s="278"/>
    </row>
    <row r="512" spans="69:69" x14ac:dyDescent="0.2">
      <c r="BQ512" s="278"/>
    </row>
    <row r="513" spans="69:69" x14ac:dyDescent="0.2">
      <c r="BQ513" s="278"/>
    </row>
    <row r="514" spans="69:69" x14ac:dyDescent="0.2">
      <c r="BQ514" s="278"/>
    </row>
    <row r="515" spans="69:69" x14ac:dyDescent="0.2">
      <c r="BQ515" s="278"/>
    </row>
    <row r="516" spans="69:69" x14ac:dyDescent="0.2">
      <c r="BQ516" s="278"/>
    </row>
    <row r="517" spans="69:69" x14ac:dyDescent="0.2">
      <c r="BQ517" s="278"/>
    </row>
    <row r="518" spans="69:69" x14ac:dyDescent="0.2">
      <c r="BQ518" s="278"/>
    </row>
    <row r="519" spans="69:69" x14ac:dyDescent="0.2">
      <c r="BQ519" s="278"/>
    </row>
    <row r="520" spans="69:69" x14ac:dyDescent="0.2">
      <c r="BQ520" s="278"/>
    </row>
    <row r="521" spans="69:69" x14ac:dyDescent="0.2">
      <c r="BQ521" s="278"/>
    </row>
    <row r="522" spans="69:69" x14ac:dyDescent="0.2">
      <c r="BQ522" s="278"/>
    </row>
    <row r="523" spans="69:69" x14ac:dyDescent="0.2">
      <c r="BQ523" s="278"/>
    </row>
    <row r="524" spans="69:69" x14ac:dyDescent="0.2">
      <c r="BQ524" s="278"/>
    </row>
    <row r="525" spans="69:69" x14ac:dyDescent="0.2">
      <c r="BQ525" s="278"/>
    </row>
    <row r="526" spans="69:69" x14ac:dyDescent="0.2">
      <c r="BQ526" s="278"/>
    </row>
    <row r="527" spans="69:69" x14ac:dyDescent="0.2">
      <c r="BQ527" s="278"/>
    </row>
    <row r="528" spans="69:69" x14ac:dyDescent="0.2">
      <c r="BQ528" s="278"/>
    </row>
    <row r="529" spans="69:69" x14ac:dyDescent="0.2">
      <c r="BQ529" s="278"/>
    </row>
    <row r="530" spans="69:69" x14ac:dyDescent="0.2">
      <c r="BQ530" s="278"/>
    </row>
    <row r="531" spans="69:69" x14ac:dyDescent="0.2">
      <c r="BQ531" s="278"/>
    </row>
    <row r="532" spans="69:69" x14ac:dyDescent="0.2">
      <c r="BQ532" s="278"/>
    </row>
    <row r="533" spans="69:69" x14ac:dyDescent="0.2">
      <c r="BQ533" s="278"/>
    </row>
    <row r="534" spans="69:69" x14ac:dyDescent="0.2">
      <c r="BQ534" s="278"/>
    </row>
    <row r="535" spans="69:69" x14ac:dyDescent="0.2">
      <c r="BQ535" s="278"/>
    </row>
    <row r="536" spans="69:69" x14ac:dyDescent="0.2">
      <c r="BQ536" s="278"/>
    </row>
    <row r="537" spans="69:69" x14ac:dyDescent="0.2">
      <c r="BQ537" s="278"/>
    </row>
    <row r="538" spans="69:69" x14ac:dyDescent="0.2">
      <c r="BQ538" s="278"/>
    </row>
    <row r="539" spans="69:69" x14ac:dyDescent="0.2">
      <c r="BQ539" s="278"/>
    </row>
    <row r="540" spans="69:69" x14ac:dyDescent="0.2">
      <c r="BQ540" s="278"/>
    </row>
    <row r="541" spans="69:69" x14ac:dyDescent="0.2">
      <c r="BQ541" s="278"/>
    </row>
    <row r="542" spans="69:69" x14ac:dyDescent="0.2">
      <c r="BQ542" s="278"/>
    </row>
    <row r="543" spans="69:69" x14ac:dyDescent="0.2">
      <c r="BQ543" s="278"/>
    </row>
    <row r="544" spans="69:69" x14ac:dyDescent="0.2">
      <c r="BQ544" s="278"/>
    </row>
    <row r="545" spans="69:69" x14ac:dyDescent="0.2">
      <c r="BQ545" s="278"/>
    </row>
    <row r="546" spans="69:69" x14ac:dyDescent="0.2">
      <c r="BQ546" s="278"/>
    </row>
  </sheetData>
  <sortState ref="A3:DC304">
    <sortCondition ref="B3:B304"/>
  </sortState>
  <phoneticPr fontId="0" type="noConversion"/>
  <pageMargins left="0.75" right="0.75" top="1" bottom="1" header="0.4921259845" footer="0.492125984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8" sqref="F8:O301"/>
    </sheetView>
  </sheetViews>
  <sheetFormatPr defaultColWidth="9.33203125" defaultRowHeight="11.25" x14ac:dyDescent="0.2"/>
  <cols>
    <col min="1" max="1" width="14.5" style="156" customWidth="1"/>
    <col min="2" max="2" width="9.1640625" style="156" customWidth="1"/>
    <col min="3" max="3" width="9.33203125" style="156" bestFit="1" customWidth="1"/>
    <col min="4" max="4" width="9.33203125" style="273" bestFit="1" customWidth="1"/>
    <col min="5" max="5" width="9.33203125" style="156" bestFit="1" customWidth="1"/>
    <col min="6" max="6" width="9.1640625" style="156" bestFit="1" customWidth="1"/>
    <col min="7" max="9" width="9.1640625" style="268" bestFit="1" customWidth="1"/>
    <col min="10" max="11" width="9.5" style="156" bestFit="1" customWidth="1"/>
    <col min="12" max="12" width="9.33203125" style="156"/>
    <col min="13" max="17" width="9.33203125" style="266"/>
    <col min="18" max="18" width="9.33203125" style="146"/>
    <col min="19" max="29" width="9.33203125" style="360"/>
    <col min="30" max="16384" width="9.33203125" style="146"/>
  </cols>
  <sheetData>
    <row r="1" spans="1:29" ht="12.75" x14ac:dyDescent="0.2">
      <c r="A1" s="178" t="s">
        <v>418</v>
      </c>
      <c r="F1" s="269"/>
      <c r="G1" s="284"/>
      <c r="H1" s="284"/>
      <c r="I1" s="284"/>
      <c r="J1" s="269"/>
      <c r="K1" s="269"/>
      <c r="L1" s="269"/>
    </row>
    <row r="2" spans="1:29" ht="12.75" x14ac:dyDescent="0.2">
      <c r="A2" s="179" t="s">
        <v>417</v>
      </c>
      <c r="F2" s="269"/>
      <c r="G2" s="284"/>
      <c r="H2" s="284"/>
      <c r="I2" s="284"/>
      <c r="J2" s="269"/>
      <c r="K2" s="269"/>
      <c r="L2" s="269"/>
      <c r="M2" s="266" t="s">
        <v>419</v>
      </c>
    </row>
    <row r="3" spans="1:29" x14ac:dyDescent="0.2">
      <c r="A3" s="256" t="s">
        <v>395</v>
      </c>
      <c r="B3" s="182">
        <v>2</v>
      </c>
      <c r="C3" s="182">
        <v>3</v>
      </c>
      <c r="D3" s="182">
        <v>4</v>
      </c>
      <c r="E3" s="182">
        <v>5</v>
      </c>
      <c r="F3" s="182">
        <v>6</v>
      </c>
      <c r="G3" s="182">
        <v>7</v>
      </c>
      <c r="H3" s="182">
        <v>8</v>
      </c>
      <c r="I3" s="182">
        <v>9</v>
      </c>
      <c r="J3" s="182">
        <v>10</v>
      </c>
      <c r="K3" s="182">
        <v>11</v>
      </c>
      <c r="L3" s="182">
        <v>12</v>
      </c>
      <c r="M3" s="267">
        <v>13</v>
      </c>
      <c r="N3" s="267">
        <v>14</v>
      </c>
      <c r="O3" s="267">
        <v>15</v>
      </c>
    </row>
    <row r="4" spans="1:29" x14ac:dyDescent="0.2">
      <c r="F4" s="269"/>
      <c r="G4" s="284"/>
      <c r="H4" s="284"/>
      <c r="I4" s="284"/>
      <c r="J4" s="269"/>
      <c r="K4" s="269"/>
      <c r="L4" s="269"/>
      <c r="AA4" s="360" t="s">
        <v>413</v>
      </c>
    </row>
    <row r="5" spans="1:29" x14ac:dyDescent="0.2">
      <c r="B5" s="291">
        <v>2020</v>
      </c>
      <c r="C5" s="291">
        <v>2021</v>
      </c>
      <c r="D5" s="291">
        <v>2022</v>
      </c>
      <c r="E5" s="291">
        <v>2023</v>
      </c>
      <c r="F5" s="334">
        <v>2024</v>
      </c>
      <c r="G5" s="334">
        <v>2025</v>
      </c>
      <c r="H5" s="334">
        <v>2026</v>
      </c>
      <c r="I5" s="334">
        <v>2027</v>
      </c>
      <c r="J5" s="334">
        <v>2028</v>
      </c>
      <c r="K5" s="334">
        <v>2029</v>
      </c>
      <c r="L5" s="358">
        <v>2030</v>
      </c>
      <c r="M5" s="334">
        <v>2031</v>
      </c>
      <c r="N5" s="358">
        <v>2032</v>
      </c>
      <c r="O5" s="334">
        <v>2033</v>
      </c>
      <c r="S5" s="360">
        <v>2023</v>
      </c>
      <c r="T5" s="360">
        <v>2024</v>
      </c>
      <c r="U5" s="360">
        <v>2025</v>
      </c>
      <c r="V5" s="360">
        <v>2026</v>
      </c>
      <c r="W5" s="360">
        <v>2027</v>
      </c>
      <c r="X5" s="360">
        <v>2028</v>
      </c>
      <c r="Y5" s="360">
        <v>2029</v>
      </c>
      <c r="Z5" s="360">
        <v>2030</v>
      </c>
      <c r="AA5" s="360" t="s">
        <v>459</v>
      </c>
    </row>
    <row r="6" spans="1:29" x14ac:dyDescent="0.2">
      <c r="A6" s="180"/>
      <c r="B6" s="181"/>
      <c r="C6" s="181"/>
      <c r="D6" s="361"/>
      <c r="E6" s="181"/>
      <c r="F6" s="270"/>
      <c r="G6" s="270"/>
      <c r="H6" s="284"/>
      <c r="I6" s="270"/>
      <c r="J6" s="269"/>
      <c r="K6" s="269"/>
      <c r="L6" s="269"/>
    </row>
    <row r="7" spans="1:29" x14ac:dyDescent="0.2">
      <c r="F7" s="269"/>
      <c r="G7" s="284"/>
      <c r="H7" s="284"/>
      <c r="I7" s="284"/>
      <c r="J7" s="269"/>
      <c r="K7" s="269"/>
      <c r="L7" s="269"/>
    </row>
    <row r="8" spans="1:29" s="274" customFormat="1" x14ac:dyDescent="0.2">
      <c r="A8" s="271" t="s">
        <v>318</v>
      </c>
      <c r="B8" s="335">
        <v>16391</v>
      </c>
      <c r="C8" s="335">
        <v>16229</v>
      </c>
      <c r="D8" s="335">
        <v>16473</v>
      </c>
      <c r="E8" s="335">
        <v>16405</v>
      </c>
      <c r="F8" s="332">
        <v>16285.210634712601</v>
      </c>
      <c r="G8" s="336">
        <v>16171.564313798914</v>
      </c>
      <c r="H8" s="337">
        <v>16066.108718716845</v>
      </c>
      <c r="I8" s="337">
        <v>15966.796168008488</v>
      </c>
      <c r="J8" s="337">
        <v>15871.57898021594</v>
      </c>
      <c r="K8" s="337">
        <v>15781.480996068152</v>
      </c>
      <c r="L8" s="337">
        <v>15691.383011920365</v>
      </c>
      <c r="M8" s="360">
        <f>L8*$AA8</f>
        <v>15592.006616041201</v>
      </c>
      <c r="N8" s="360">
        <f>M8*$AA8</f>
        <v>15493.259589036052</v>
      </c>
      <c r="O8" s="360">
        <f>N8*$AA8</f>
        <v>15395.137944996834</v>
      </c>
      <c r="P8" s="266"/>
      <c r="Q8" s="266">
        <v>20</v>
      </c>
      <c r="R8" s="266" t="s">
        <v>318</v>
      </c>
      <c r="S8" s="360">
        <f>E8</f>
        <v>16405</v>
      </c>
      <c r="T8" s="360">
        <f t="shared" ref="T8:Z8" si="0">F8</f>
        <v>16285.210634712601</v>
      </c>
      <c r="U8" s="360">
        <f t="shared" si="0"/>
        <v>16171.564313798914</v>
      </c>
      <c r="V8" s="360">
        <f t="shared" si="0"/>
        <v>16066.108718716845</v>
      </c>
      <c r="W8" s="360">
        <f t="shared" si="0"/>
        <v>15966.796168008488</v>
      </c>
      <c r="X8" s="360">
        <f t="shared" si="0"/>
        <v>15871.57898021594</v>
      </c>
      <c r="Y8" s="360">
        <f t="shared" si="0"/>
        <v>15781.480996068152</v>
      </c>
      <c r="Z8" s="360">
        <f t="shared" si="0"/>
        <v>15691.383011920365</v>
      </c>
      <c r="AA8" s="443">
        <v>0.99366681727138584</v>
      </c>
      <c r="AB8" s="360"/>
      <c r="AC8" s="360"/>
    </row>
    <row r="9" spans="1:29" x14ac:dyDescent="0.2">
      <c r="A9" s="154" t="s">
        <v>38</v>
      </c>
      <c r="B9" s="354">
        <v>9419</v>
      </c>
      <c r="C9" s="354">
        <v>9363</v>
      </c>
      <c r="D9" s="354">
        <v>9183</v>
      </c>
      <c r="E9" s="354">
        <v>9113</v>
      </c>
      <c r="F9" s="331">
        <v>8999.3891218005301</v>
      </c>
      <c r="G9" s="336">
        <v>8888.7944616063542</v>
      </c>
      <c r="H9" s="337">
        <v>8777.1943954104154</v>
      </c>
      <c r="I9" s="337">
        <v>8667.6051412180059</v>
      </c>
      <c r="J9" s="337">
        <v>8558.0158870255964</v>
      </c>
      <c r="K9" s="337">
        <v>8452.4482568402473</v>
      </c>
      <c r="L9" s="337">
        <v>8351.907656663725</v>
      </c>
      <c r="M9" s="360">
        <f t="shared" ref="M9:N72" si="1">L9*$AA9</f>
        <v>8248.4981841484223</v>
      </c>
      <c r="N9" s="360">
        <f t="shared" si="1"/>
        <v>8146.3690800765326</v>
      </c>
      <c r="O9" s="360">
        <f t="shared" ref="O9:O72" si="2">N9*$AA9</f>
        <v>8045.5044915159115</v>
      </c>
      <c r="Q9" s="266">
        <v>5</v>
      </c>
      <c r="R9" s="266" t="s">
        <v>38</v>
      </c>
      <c r="S9" s="360">
        <f t="shared" ref="S9:S72" si="3">E9</f>
        <v>9113</v>
      </c>
      <c r="T9" s="360">
        <f t="shared" ref="T9:T72" si="4">F9</f>
        <v>8999.3891218005301</v>
      </c>
      <c r="U9" s="360">
        <f t="shared" ref="U9:U72" si="5">G9</f>
        <v>8888.7944616063542</v>
      </c>
      <c r="V9" s="360">
        <f t="shared" ref="V9:V72" si="6">H9</f>
        <v>8777.1943954104154</v>
      </c>
      <c r="W9" s="360">
        <f t="shared" ref="W9:W72" si="7">I9</f>
        <v>8667.6051412180059</v>
      </c>
      <c r="X9" s="360">
        <f t="shared" ref="X9:X72" si="8">J9</f>
        <v>8558.0158870255964</v>
      </c>
      <c r="Y9" s="360">
        <f t="shared" ref="Y9:Y72" si="9">K9</f>
        <v>8452.4482568402473</v>
      </c>
      <c r="Z9" s="360">
        <f t="shared" ref="Z9:Z72" si="10">L9</f>
        <v>8351.907656663725</v>
      </c>
      <c r="AA9" s="443">
        <v>0.98761846074378046</v>
      </c>
    </row>
    <row r="10" spans="1:29" x14ac:dyDescent="0.2">
      <c r="A10" s="154" t="s">
        <v>39</v>
      </c>
      <c r="B10" s="354">
        <v>2517</v>
      </c>
      <c r="C10" s="354">
        <v>2461</v>
      </c>
      <c r="D10" s="354">
        <v>2447</v>
      </c>
      <c r="E10" s="354">
        <v>2437</v>
      </c>
      <c r="F10" s="331">
        <v>2413.078527607362</v>
      </c>
      <c r="G10" s="336">
        <v>2389.1570552147241</v>
      </c>
      <c r="H10" s="337">
        <v>2367.2290388548058</v>
      </c>
      <c r="I10" s="337">
        <v>2344.3042944785279</v>
      </c>
      <c r="J10" s="337">
        <v>2321.3795501022496</v>
      </c>
      <c r="K10" s="337">
        <v>2300.4482617586914</v>
      </c>
      <c r="L10" s="337">
        <v>2277.523517382413</v>
      </c>
      <c r="M10" s="360">
        <f t="shared" si="1"/>
        <v>2255.6096563497808</v>
      </c>
      <c r="N10" s="360">
        <f t="shared" si="1"/>
        <v>2233.9066459633405</v>
      </c>
      <c r="O10" s="360">
        <f t="shared" si="2"/>
        <v>2212.4124574617099</v>
      </c>
      <c r="Q10" s="266">
        <v>9</v>
      </c>
      <c r="R10" s="266" t="s">
        <v>39</v>
      </c>
      <c r="S10" s="360">
        <f t="shared" si="3"/>
        <v>2437</v>
      </c>
      <c r="T10" s="360">
        <f t="shared" si="4"/>
        <v>2413.078527607362</v>
      </c>
      <c r="U10" s="360">
        <f t="shared" si="5"/>
        <v>2389.1570552147241</v>
      </c>
      <c r="V10" s="360">
        <f t="shared" si="6"/>
        <v>2367.2290388548058</v>
      </c>
      <c r="W10" s="360">
        <f t="shared" si="7"/>
        <v>2344.3042944785279</v>
      </c>
      <c r="X10" s="360">
        <f t="shared" si="8"/>
        <v>2321.3795501022496</v>
      </c>
      <c r="Y10" s="360">
        <f t="shared" si="9"/>
        <v>2300.4482617586914</v>
      </c>
      <c r="Z10" s="360">
        <f t="shared" si="10"/>
        <v>2277.523517382413</v>
      </c>
      <c r="AA10" s="443">
        <v>0.99037820647497932</v>
      </c>
    </row>
    <row r="11" spans="1:29" x14ac:dyDescent="0.2">
      <c r="A11" s="154" t="s">
        <v>40</v>
      </c>
      <c r="B11" s="354">
        <v>11332</v>
      </c>
      <c r="C11" s="354">
        <v>11118</v>
      </c>
      <c r="D11" s="354">
        <v>11102</v>
      </c>
      <c r="E11" s="354">
        <v>10933</v>
      </c>
      <c r="F11" s="331">
        <v>10806.104459879363</v>
      </c>
      <c r="G11" s="336">
        <v>10677.210564796198</v>
      </c>
      <c r="H11" s="337">
        <v>10553.312557119356</v>
      </c>
      <c r="I11" s="337">
        <v>10434.410436848839</v>
      </c>
      <c r="J11" s="337">
        <v>10316.507494059586</v>
      </c>
      <c r="K11" s="337">
        <v>10204.599616157922</v>
      </c>
      <c r="L11" s="337">
        <v>10091.692560774994</v>
      </c>
      <c r="M11" s="360">
        <f t="shared" si="1"/>
        <v>9976.9117731998977</v>
      </c>
      <c r="N11" s="360">
        <f t="shared" si="1"/>
        <v>9863.4364781491731</v>
      </c>
      <c r="O11" s="360">
        <f t="shared" si="2"/>
        <v>9751.2518272255675</v>
      </c>
      <c r="Q11" s="266">
        <v>10</v>
      </c>
      <c r="R11" s="266" t="s">
        <v>40</v>
      </c>
      <c r="S11" s="360">
        <f t="shared" si="3"/>
        <v>10933</v>
      </c>
      <c r="T11" s="360">
        <f t="shared" si="4"/>
        <v>10806.104459879363</v>
      </c>
      <c r="U11" s="360">
        <f t="shared" si="5"/>
        <v>10677.210564796198</v>
      </c>
      <c r="V11" s="360">
        <f t="shared" si="6"/>
        <v>10553.312557119356</v>
      </c>
      <c r="W11" s="360">
        <f t="shared" si="7"/>
        <v>10434.410436848839</v>
      </c>
      <c r="X11" s="360">
        <f t="shared" si="8"/>
        <v>10316.507494059586</v>
      </c>
      <c r="Y11" s="360">
        <f t="shared" si="9"/>
        <v>10204.599616157922</v>
      </c>
      <c r="Z11" s="360">
        <f t="shared" si="10"/>
        <v>10091.692560774994</v>
      </c>
      <c r="AA11" s="443">
        <v>0.98862621043161447</v>
      </c>
    </row>
    <row r="12" spans="1:29" x14ac:dyDescent="0.2">
      <c r="A12" s="154" t="s">
        <v>41</v>
      </c>
      <c r="B12" s="354">
        <v>8059</v>
      </c>
      <c r="C12" s="354">
        <v>7980</v>
      </c>
      <c r="D12" s="354">
        <v>8014</v>
      </c>
      <c r="E12" s="354">
        <v>7968</v>
      </c>
      <c r="F12" s="331">
        <v>7922.7900643046269</v>
      </c>
      <c r="G12" s="336">
        <v>7873.5614676585546</v>
      </c>
      <c r="H12" s="337">
        <v>7827.3468667255065</v>
      </c>
      <c r="I12" s="337">
        <v>7779.1229353171093</v>
      </c>
      <c r="J12" s="337">
        <v>7734.9176648594121</v>
      </c>
      <c r="K12" s="337">
        <v>7692.7217248770639</v>
      </c>
      <c r="L12" s="337">
        <v>7653.5397806077408</v>
      </c>
      <c r="M12" s="360">
        <f t="shared" si="1"/>
        <v>7609.6421234925983</v>
      </c>
      <c r="N12" s="360">
        <f t="shared" si="1"/>
        <v>7565.9962458619084</v>
      </c>
      <c r="O12" s="360">
        <f t="shared" si="2"/>
        <v>7522.6007036087876</v>
      </c>
      <c r="Q12" s="266">
        <v>16</v>
      </c>
      <c r="R12" s="266" t="s">
        <v>41</v>
      </c>
      <c r="S12" s="360">
        <f t="shared" si="3"/>
        <v>7968</v>
      </c>
      <c r="T12" s="360">
        <f t="shared" si="4"/>
        <v>7922.7900643046269</v>
      </c>
      <c r="U12" s="360">
        <f t="shared" si="5"/>
        <v>7873.5614676585546</v>
      </c>
      <c r="V12" s="360">
        <f t="shared" si="6"/>
        <v>7827.3468667255065</v>
      </c>
      <c r="W12" s="360">
        <f t="shared" si="7"/>
        <v>7779.1229353171093</v>
      </c>
      <c r="X12" s="360">
        <f t="shared" si="8"/>
        <v>7734.9176648594121</v>
      </c>
      <c r="Y12" s="360">
        <f t="shared" si="9"/>
        <v>7692.7217248770639</v>
      </c>
      <c r="Z12" s="360">
        <f t="shared" si="10"/>
        <v>7653.5397806077408</v>
      </c>
      <c r="AA12" s="443">
        <v>0.99426439812511735</v>
      </c>
    </row>
    <row r="13" spans="1:29" x14ac:dyDescent="0.2">
      <c r="A13" s="154" t="s">
        <v>42</v>
      </c>
      <c r="B13" s="354">
        <v>4878</v>
      </c>
      <c r="C13" s="354">
        <v>4938</v>
      </c>
      <c r="D13" s="354">
        <v>4763</v>
      </c>
      <c r="E13" s="354">
        <v>4700</v>
      </c>
      <c r="F13" s="331">
        <v>4671.383581776191</v>
      </c>
      <c r="G13" s="336">
        <v>4646.7142557211837</v>
      </c>
      <c r="H13" s="337">
        <v>4624.0184757505767</v>
      </c>
      <c r="I13" s="337">
        <v>4603.2962418643701</v>
      </c>
      <c r="J13" s="337">
        <v>4580.6004618937632</v>
      </c>
      <c r="K13" s="337">
        <v>4557.9046819231562</v>
      </c>
      <c r="L13" s="337">
        <v>4537.1824480369505</v>
      </c>
      <c r="M13" s="360">
        <f t="shared" si="1"/>
        <v>4514.3884367994015</v>
      </c>
      <c r="N13" s="360">
        <f t="shared" si="1"/>
        <v>4491.7089386885</v>
      </c>
      <c r="O13" s="360">
        <f t="shared" si="2"/>
        <v>4469.1433784103228</v>
      </c>
      <c r="Q13" s="266">
        <v>18</v>
      </c>
      <c r="R13" s="266" t="s">
        <v>42</v>
      </c>
      <c r="S13" s="360">
        <f t="shared" si="3"/>
        <v>4700</v>
      </c>
      <c r="T13" s="360">
        <f t="shared" si="4"/>
        <v>4671.383581776191</v>
      </c>
      <c r="U13" s="360">
        <f t="shared" si="5"/>
        <v>4646.7142557211837</v>
      </c>
      <c r="V13" s="360">
        <f t="shared" si="6"/>
        <v>4624.0184757505767</v>
      </c>
      <c r="W13" s="360">
        <f t="shared" si="7"/>
        <v>4603.2962418643701</v>
      </c>
      <c r="X13" s="360">
        <f t="shared" si="8"/>
        <v>4580.6004618937632</v>
      </c>
      <c r="Y13" s="360">
        <f t="shared" si="9"/>
        <v>4557.9046819231562</v>
      </c>
      <c r="Z13" s="360">
        <f t="shared" si="10"/>
        <v>4537.1824480369505</v>
      </c>
      <c r="AA13" s="443">
        <v>0.9949761748621303</v>
      </c>
    </row>
    <row r="14" spans="1:29" x14ac:dyDescent="0.2">
      <c r="A14" s="154" t="s">
        <v>43</v>
      </c>
      <c r="B14" s="354">
        <v>3959</v>
      </c>
      <c r="C14" s="354">
        <v>3968</v>
      </c>
      <c r="D14" s="354">
        <v>3965</v>
      </c>
      <c r="E14" s="354">
        <v>3961</v>
      </c>
      <c r="F14" s="331">
        <v>3964.0015155342257</v>
      </c>
      <c r="G14" s="336">
        <v>3969.0040414246023</v>
      </c>
      <c r="H14" s="337">
        <v>3975.0070724930538</v>
      </c>
      <c r="I14" s="337">
        <v>3984.0116190957315</v>
      </c>
      <c r="J14" s="337">
        <v>3990.0146501641834</v>
      </c>
      <c r="K14" s="337">
        <v>3994.0166708764841</v>
      </c>
      <c r="L14" s="337">
        <v>3997.0181864107103</v>
      </c>
      <c r="M14" s="360">
        <f t="shared" si="1"/>
        <v>4002.1907945718972</v>
      </c>
      <c r="N14" s="360">
        <f t="shared" si="1"/>
        <v>4007.3700966919159</v>
      </c>
      <c r="O14" s="360">
        <f t="shared" si="2"/>
        <v>4012.5561014335303</v>
      </c>
      <c r="Q14" s="266">
        <v>19</v>
      </c>
      <c r="R14" s="266" t="s">
        <v>43</v>
      </c>
      <c r="S14" s="360">
        <f t="shared" si="3"/>
        <v>3961</v>
      </c>
      <c r="T14" s="360">
        <f t="shared" si="4"/>
        <v>3964.0015155342257</v>
      </c>
      <c r="U14" s="360">
        <f t="shared" si="5"/>
        <v>3969.0040414246023</v>
      </c>
      <c r="V14" s="360">
        <f t="shared" si="6"/>
        <v>3975.0070724930538</v>
      </c>
      <c r="W14" s="360">
        <f t="shared" si="7"/>
        <v>3984.0116190957315</v>
      </c>
      <c r="X14" s="360">
        <f t="shared" si="8"/>
        <v>3990.0146501641834</v>
      </c>
      <c r="Y14" s="360">
        <f t="shared" si="9"/>
        <v>3994.0166708764841</v>
      </c>
      <c r="Z14" s="360">
        <f t="shared" si="10"/>
        <v>3997.0181864107103</v>
      </c>
      <c r="AA14" s="443">
        <v>1.0012941167440201</v>
      </c>
    </row>
    <row r="15" spans="1:29" x14ac:dyDescent="0.2">
      <c r="A15" s="154" t="s">
        <v>44</v>
      </c>
      <c r="B15" s="354">
        <v>1369</v>
      </c>
      <c r="C15" s="354">
        <v>1352</v>
      </c>
      <c r="D15" s="354">
        <v>1341</v>
      </c>
      <c r="E15" s="354">
        <v>1320</v>
      </c>
      <c r="F15" s="331">
        <v>1307.0685757347401</v>
      </c>
      <c r="G15" s="336">
        <v>1293.1424265259984</v>
      </c>
      <c r="H15" s="337">
        <v>1280.2110022607385</v>
      </c>
      <c r="I15" s="337">
        <v>1267.2795779954786</v>
      </c>
      <c r="J15" s="337">
        <v>1252.3587038432554</v>
      </c>
      <c r="K15" s="337">
        <v>1239.4272795779955</v>
      </c>
      <c r="L15" s="337">
        <v>1223.5116804822908</v>
      </c>
      <c r="M15" s="360">
        <f t="shared" si="1"/>
        <v>1210.3165053728628</v>
      </c>
      <c r="N15" s="360">
        <f t="shared" si="1"/>
        <v>1197.2636359307578</v>
      </c>
      <c r="O15" s="360">
        <f t="shared" si="2"/>
        <v>1184.3515374356871</v>
      </c>
      <c r="Q15" s="266">
        <v>46</v>
      </c>
      <c r="R15" s="266" t="s">
        <v>44</v>
      </c>
      <c r="S15" s="360">
        <f t="shared" si="3"/>
        <v>1320</v>
      </c>
      <c r="T15" s="360">
        <f t="shared" si="4"/>
        <v>1307.0685757347401</v>
      </c>
      <c r="U15" s="360">
        <f t="shared" si="5"/>
        <v>1293.1424265259984</v>
      </c>
      <c r="V15" s="360">
        <f t="shared" si="6"/>
        <v>1280.2110022607385</v>
      </c>
      <c r="W15" s="360">
        <f t="shared" si="7"/>
        <v>1267.2795779954786</v>
      </c>
      <c r="X15" s="360">
        <f t="shared" si="8"/>
        <v>1252.3587038432554</v>
      </c>
      <c r="Y15" s="360">
        <f t="shared" si="9"/>
        <v>1239.4272795779955</v>
      </c>
      <c r="Z15" s="360">
        <f t="shared" si="10"/>
        <v>1223.5116804822908</v>
      </c>
      <c r="AA15" s="443">
        <v>0.98921532559114878</v>
      </c>
    </row>
    <row r="16" spans="1:29" x14ac:dyDescent="0.2">
      <c r="A16" s="154" t="s">
        <v>45</v>
      </c>
      <c r="B16" s="354">
        <v>1808</v>
      </c>
      <c r="C16" s="354">
        <v>1850</v>
      </c>
      <c r="D16" s="354">
        <v>1811</v>
      </c>
      <c r="E16" s="354">
        <v>1771</v>
      </c>
      <c r="F16" s="331">
        <v>1764.0393037619315</v>
      </c>
      <c r="G16" s="336">
        <v>1758.0729927007301</v>
      </c>
      <c r="H16" s="337">
        <v>1751.1122964626616</v>
      </c>
      <c r="I16" s="337">
        <v>1743.1572150477261</v>
      </c>
      <c r="J16" s="337">
        <v>1735.2021336327907</v>
      </c>
      <c r="K16" s="337">
        <v>1725.2582818641215</v>
      </c>
      <c r="L16" s="337">
        <v>1716.3088152723192</v>
      </c>
      <c r="M16" s="360">
        <f t="shared" si="1"/>
        <v>1708.6353709538748</v>
      </c>
      <c r="N16" s="360">
        <f t="shared" si="1"/>
        <v>1700.9962338342191</v>
      </c>
      <c r="O16" s="360">
        <f t="shared" si="2"/>
        <v>1693.3912505293122</v>
      </c>
      <c r="Q16" s="266">
        <v>47</v>
      </c>
      <c r="R16" s="266" t="s">
        <v>45</v>
      </c>
      <c r="S16" s="360">
        <f t="shared" si="3"/>
        <v>1771</v>
      </c>
      <c r="T16" s="360">
        <f t="shared" si="4"/>
        <v>1764.0393037619315</v>
      </c>
      <c r="U16" s="360">
        <f t="shared" si="5"/>
        <v>1758.0729927007301</v>
      </c>
      <c r="V16" s="360">
        <f t="shared" si="6"/>
        <v>1751.1122964626616</v>
      </c>
      <c r="W16" s="360">
        <f t="shared" si="7"/>
        <v>1743.1572150477261</v>
      </c>
      <c r="X16" s="360">
        <f t="shared" si="8"/>
        <v>1735.2021336327907</v>
      </c>
      <c r="Y16" s="360">
        <f t="shared" si="9"/>
        <v>1725.2582818641215</v>
      </c>
      <c r="Z16" s="360">
        <f t="shared" si="10"/>
        <v>1716.3088152723192</v>
      </c>
      <c r="AA16" s="443">
        <v>0.99552910044499954</v>
      </c>
    </row>
    <row r="17" spans="1:27" x14ac:dyDescent="0.2">
      <c r="A17" s="154" t="s">
        <v>46</v>
      </c>
      <c r="B17" s="354">
        <v>292796</v>
      </c>
      <c r="C17" s="354">
        <v>296067</v>
      </c>
      <c r="D17" s="354">
        <v>305274</v>
      </c>
      <c r="E17" s="354">
        <v>314024</v>
      </c>
      <c r="F17" s="331">
        <v>318221.42905113538</v>
      </c>
      <c r="G17" s="336">
        <v>322226.39062382845</v>
      </c>
      <c r="H17" s="337">
        <v>326035.8134285296</v>
      </c>
      <c r="I17" s="337">
        <v>329660.95886025403</v>
      </c>
      <c r="J17" s="337">
        <v>333107.96949810104</v>
      </c>
      <c r="K17" s="337">
        <v>336388.10673708579</v>
      </c>
      <c r="L17" s="337">
        <v>339492.15670855955</v>
      </c>
      <c r="M17" s="360">
        <f t="shared" si="1"/>
        <v>343295.63169278868</v>
      </c>
      <c r="N17" s="360">
        <f t="shared" si="1"/>
        <v>347141.71862450993</v>
      </c>
      <c r="O17" s="360">
        <f t="shared" si="2"/>
        <v>351030.89490348974</v>
      </c>
      <c r="Q17" s="266">
        <v>49</v>
      </c>
      <c r="R17" s="266" t="s">
        <v>46</v>
      </c>
      <c r="S17" s="360">
        <f t="shared" si="3"/>
        <v>314024</v>
      </c>
      <c r="T17" s="360">
        <f t="shared" si="4"/>
        <v>318221.42905113538</v>
      </c>
      <c r="U17" s="360">
        <f t="shared" si="5"/>
        <v>322226.39062382845</v>
      </c>
      <c r="V17" s="360">
        <f t="shared" si="6"/>
        <v>326035.8134285296</v>
      </c>
      <c r="W17" s="360">
        <f t="shared" si="7"/>
        <v>329660.95886025403</v>
      </c>
      <c r="X17" s="360">
        <f t="shared" si="8"/>
        <v>333107.96949810104</v>
      </c>
      <c r="Y17" s="360">
        <f t="shared" si="9"/>
        <v>336388.10673708579</v>
      </c>
      <c r="Z17" s="360">
        <f t="shared" si="10"/>
        <v>339492.15670855955</v>
      </c>
      <c r="AA17" s="443">
        <v>1.011203425201644</v>
      </c>
    </row>
    <row r="18" spans="1:27" x14ac:dyDescent="0.2">
      <c r="A18" s="154" t="s">
        <v>47</v>
      </c>
      <c r="B18" s="354">
        <v>11483</v>
      </c>
      <c r="C18" s="354">
        <v>11386</v>
      </c>
      <c r="D18" s="354">
        <v>11276</v>
      </c>
      <c r="E18" s="354">
        <v>11184</v>
      </c>
      <c r="F18" s="331">
        <v>11062.106287155468</v>
      </c>
      <c r="G18" s="336">
        <v>10945.249504593767</v>
      </c>
      <c r="H18" s="337">
        <v>10833.429652314899</v>
      </c>
      <c r="I18" s="337">
        <v>10728.661502431994</v>
      </c>
      <c r="J18" s="337">
        <v>10626.915510718789</v>
      </c>
      <c r="K18" s="337">
        <v>10526.176905062151</v>
      </c>
      <c r="L18" s="337">
        <v>10429.467843631779</v>
      </c>
      <c r="M18" s="360">
        <f t="shared" si="1"/>
        <v>10325.917574835643</v>
      </c>
      <c r="N18" s="360">
        <f t="shared" si="1"/>
        <v>10223.395417763759</v>
      </c>
      <c r="O18" s="360">
        <f t="shared" si="2"/>
        <v>10121.891164680988</v>
      </c>
      <c r="Q18" s="266">
        <v>50</v>
      </c>
      <c r="R18" s="266" t="s">
        <v>47</v>
      </c>
      <c r="S18" s="360">
        <f t="shared" si="3"/>
        <v>11184</v>
      </c>
      <c r="T18" s="360">
        <f t="shared" si="4"/>
        <v>11062.106287155468</v>
      </c>
      <c r="U18" s="360">
        <f t="shared" si="5"/>
        <v>10945.249504593767</v>
      </c>
      <c r="V18" s="360">
        <f t="shared" si="6"/>
        <v>10833.429652314899</v>
      </c>
      <c r="W18" s="360">
        <f t="shared" si="7"/>
        <v>10728.661502431994</v>
      </c>
      <c r="X18" s="360">
        <f t="shared" si="8"/>
        <v>10626.915510718789</v>
      </c>
      <c r="Y18" s="360">
        <f t="shared" si="9"/>
        <v>10526.176905062151</v>
      </c>
      <c r="Z18" s="360">
        <f t="shared" si="10"/>
        <v>10429.467843631779</v>
      </c>
      <c r="AA18" s="443">
        <v>0.99007137561104197</v>
      </c>
    </row>
    <row r="19" spans="1:27" x14ac:dyDescent="0.2">
      <c r="A19" s="154" t="s">
        <v>48</v>
      </c>
      <c r="B19" s="354">
        <v>9452</v>
      </c>
      <c r="C19" s="354">
        <v>9522</v>
      </c>
      <c r="D19" s="354">
        <v>9211</v>
      </c>
      <c r="E19" s="354">
        <v>9143</v>
      </c>
      <c r="F19" s="331">
        <v>9158.3261393399698</v>
      </c>
      <c r="G19" s="336">
        <v>9165.0313253012064</v>
      </c>
      <c r="H19" s="337">
        <v>9162.1576741749632</v>
      </c>
      <c r="I19" s="337">
        <v>9156.410371922475</v>
      </c>
      <c r="J19" s="337">
        <v>9145.8736511262468</v>
      </c>
      <c r="K19" s="337">
        <v>9128.6317443687822</v>
      </c>
      <c r="L19" s="337">
        <v>9112.3477213200658</v>
      </c>
      <c r="M19" s="360">
        <f t="shared" si="1"/>
        <v>9107.9839209674574</v>
      </c>
      <c r="N19" s="360">
        <f t="shared" si="1"/>
        <v>9103.6222103895252</v>
      </c>
      <c r="O19" s="360">
        <f t="shared" si="2"/>
        <v>9099.2625885855014</v>
      </c>
      <c r="Q19" s="266">
        <v>51</v>
      </c>
      <c r="R19" s="266" t="s">
        <v>48</v>
      </c>
      <c r="S19" s="360">
        <f t="shared" si="3"/>
        <v>9143</v>
      </c>
      <c r="T19" s="360">
        <f t="shared" si="4"/>
        <v>9158.3261393399698</v>
      </c>
      <c r="U19" s="360">
        <f t="shared" si="5"/>
        <v>9165.0313253012064</v>
      </c>
      <c r="V19" s="360">
        <f t="shared" si="6"/>
        <v>9162.1576741749632</v>
      </c>
      <c r="W19" s="360">
        <f t="shared" si="7"/>
        <v>9156.410371922475</v>
      </c>
      <c r="X19" s="360">
        <f t="shared" si="8"/>
        <v>9145.8736511262468</v>
      </c>
      <c r="Y19" s="360">
        <f t="shared" si="9"/>
        <v>9128.6317443687822</v>
      </c>
      <c r="Z19" s="360">
        <f t="shared" si="10"/>
        <v>9112.3477213200658</v>
      </c>
      <c r="AA19" s="443">
        <v>0.99952111130017585</v>
      </c>
    </row>
    <row r="20" spans="1:27" x14ac:dyDescent="0.2">
      <c r="A20" s="154" t="s">
        <v>49</v>
      </c>
      <c r="B20" s="354">
        <v>2408</v>
      </c>
      <c r="C20" s="354">
        <v>2342</v>
      </c>
      <c r="D20" s="354">
        <v>2346</v>
      </c>
      <c r="E20" s="354">
        <v>2292</v>
      </c>
      <c r="F20" s="331">
        <v>2265.3373545885397</v>
      </c>
      <c r="G20" s="336">
        <v>2240.6497199482983</v>
      </c>
      <c r="H20" s="337">
        <v>2215.9620853080573</v>
      </c>
      <c r="I20" s="337">
        <v>2191.2744506678159</v>
      </c>
      <c r="J20" s="337">
        <v>2167.5743214131844</v>
      </c>
      <c r="K20" s="337">
        <v>2141.8991813873336</v>
      </c>
      <c r="L20" s="337">
        <v>2115.2365359758733</v>
      </c>
      <c r="M20" s="360">
        <f t="shared" si="1"/>
        <v>2091.1232264816781</v>
      </c>
      <c r="N20" s="360">
        <f t="shared" si="1"/>
        <v>2067.2848043038061</v>
      </c>
      <c r="O20" s="360">
        <f t="shared" si="2"/>
        <v>2043.718135777146</v>
      </c>
      <c r="Q20" s="266">
        <v>52</v>
      </c>
      <c r="R20" s="266" t="s">
        <v>49</v>
      </c>
      <c r="S20" s="360">
        <f t="shared" si="3"/>
        <v>2292</v>
      </c>
      <c r="T20" s="360">
        <f t="shared" si="4"/>
        <v>2265.3373545885397</v>
      </c>
      <c r="U20" s="360">
        <f t="shared" si="5"/>
        <v>2240.6497199482983</v>
      </c>
      <c r="V20" s="360">
        <f t="shared" si="6"/>
        <v>2215.9620853080573</v>
      </c>
      <c r="W20" s="360">
        <f t="shared" si="7"/>
        <v>2191.2744506678159</v>
      </c>
      <c r="X20" s="360">
        <f t="shared" si="8"/>
        <v>2167.5743214131844</v>
      </c>
      <c r="Y20" s="360">
        <f t="shared" si="9"/>
        <v>2141.8991813873336</v>
      </c>
      <c r="Z20" s="360">
        <f t="shared" si="10"/>
        <v>2115.2365359758733</v>
      </c>
      <c r="AA20" s="443">
        <v>0.98860018296579288</v>
      </c>
    </row>
    <row r="21" spans="1:27" x14ac:dyDescent="0.2">
      <c r="A21" s="154" t="s">
        <v>50</v>
      </c>
      <c r="B21" s="354">
        <v>16800</v>
      </c>
      <c r="C21" s="354">
        <v>16629</v>
      </c>
      <c r="D21" s="354">
        <v>16459</v>
      </c>
      <c r="E21" s="354">
        <v>16469</v>
      </c>
      <c r="F21" s="331">
        <v>16344.554174283972</v>
      </c>
      <c r="G21" s="336">
        <v>16220.108348567946</v>
      </c>
      <c r="H21" s="337">
        <v>16101.684095063985</v>
      </c>
      <c r="I21" s="337">
        <v>15980.249055453991</v>
      </c>
      <c r="J21" s="337">
        <v>15859.817611212675</v>
      </c>
      <c r="K21" s="337">
        <v>15744.404143814747</v>
      </c>
      <c r="L21" s="337">
        <v>15630.997867154174</v>
      </c>
      <c r="M21" s="360">
        <f t="shared" si="1"/>
        <v>15514.816162270028</v>
      </c>
      <c r="N21" s="360">
        <f t="shared" si="1"/>
        <v>15399.498009966754</v>
      </c>
      <c r="O21" s="360">
        <f t="shared" si="2"/>
        <v>15285.036991651505</v>
      </c>
      <c r="Q21" s="266">
        <v>61</v>
      </c>
      <c r="R21" s="266" t="s">
        <v>50</v>
      </c>
      <c r="S21" s="360">
        <f t="shared" si="3"/>
        <v>16469</v>
      </c>
      <c r="T21" s="360">
        <f t="shared" si="4"/>
        <v>16344.554174283972</v>
      </c>
      <c r="U21" s="360">
        <f t="shared" si="5"/>
        <v>16220.108348567946</v>
      </c>
      <c r="V21" s="360">
        <f t="shared" si="6"/>
        <v>16101.684095063985</v>
      </c>
      <c r="W21" s="360">
        <f t="shared" si="7"/>
        <v>15980.249055453991</v>
      </c>
      <c r="X21" s="360">
        <f t="shared" si="8"/>
        <v>15859.817611212675</v>
      </c>
      <c r="Y21" s="360">
        <f t="shared" si="9"/>
        <v>15744.404143814747</v>
      </c>
      <c r="Z21" s="360">
        <f t="shared" si="10"/>
        <v>15630.997867154174</v>
      </c>
      <c r="AA21" s="443">
        <v>0.99256722405878628</v>
      </c>
    </row>
    <row r="22" spans="1:27" x14ac:dyDescent="0.2">
      <c r="A22" s="154" t="s">
        <v>51</v>
      </c>
      <c r="B22" s="354">
        <v>6896</v>
      </c>
      <c r="C22" s="354">
        <v>6834</v>
      </c>
      <c r="D22" s="354">
        <v>6687</v>
      </c>
      <c r="E22" s="354">
        <v>6558</v>
      </c>
      <c r="F22" s="331">
        <v>6456.1552984165646</v>
      </c>
      <c r="G22" s="336">
        <v>6359.3029841656517</v>
      </c>
      <c r="H22" s="337">
        <v>6264.4476248477467</v>
      </c>
      <c r="I22" s="337">
        <v>6174.5846528623633</v>
      </c>
      <c r="J22" s="337">
        <v>6085.7201583434844</v>
      </c>
      <c r="K22" s="337">
        <v>5999.851096224118</v>
      </c>
      <c r="L22" s="337">
        <v>5916.9774665042642</v>
      </c>
      <c r="M22" s="360">
        <f t="shared" si="1"/>
        <v>5830.6683563920387</v>
      </c>
      <c r="N22" s="360">
        <f t="shared" si="1"/>
        <v>5745.6182104267173</v>
      </c>
      <c r="O22" s="360">
        <f t="shared" si="2"/>
        <v>5661.8086644898285</v>
      </c>
      <c r="Q22" s="266">
        <v>69</v>
      </c>
      <c r="R22" s="266" t="s">
        <v>51</v>
      </c>
      <c r="S22" s="360">
        <f t="shared" si="3"/>
        <v>6558</v>
      </c>
      <c r="T22" s="360">
        <f t="shared" si="4"/>
        <v>6456.1552984165646</v>
      </c>
      <c r="U22" s="360">
        <f t="shared" si="5"/>
        <v>6359.3029841656517</v>
      </c>
      <c r="V22" s="360">
        <f t="shared" si="6"/>
        <v>6264.4476248477467</v>
      </c>
      <c r="W22" s="360">
        <f t="shared" si="7"/>
        <v>6174.5846528623633</v>
      </c>
      <c r="X22" s="360">
        <f t="shared" si="8"/>
        <v>6085.7201583434844</v>
      </c>
      <c r="Y22" s="360">
        <f t="shared" si="9"/>
        <v>5999.851096224118</v>
      </c>
      <c r="Z22" s="360">
        <f t="shared" si="10"/>
        <v>5916.9774665042642</v>
      </c>
      <c r="AA22" s="443">
        <v>0.98541331100197405</v>
      </c>
    </row>
    <row r="23" spans="1:27" x14ac:dyDescent="0.2">
      <c r="A23" s="154" t="s">
        <v>52</v>
      </c>
      <c r="B23" s="354">
        <v>6667</v>
      </c>
      <c r="C23" s="354">
        <v>6606</v>
      </c>
      <c r="D23" s="354">
        <v>6591</v>
      </c>
      <c r="E23" s="354">
        <v>6473</v>
      </c>
      <c r="F23" s="331">
        <v>6385.7874040419865</v>
      </c>
      <c r="G23" s="336">
        <v>6301.6171079429732</v>
      </c>
      <c r="H23" s="337">
        <v>6221.5032116559605</v>
      </c>
      <c r="I23" s="337">
        <v>6145.4457151809484</v>
      </c>
      <c r="J23" s="337">
        <v>6074.4587184709371</v>
      </c>
      <c r="K23" s="337">
        <v>6003.4717217609268</v>
      </c>
      <c r="L23" s="337">
        <v>5933.498825003916</v>
      </c>
      <c r="M23" s="360">
        <f t="shared" si="1"/>
        <v>5860.1904136496041</v>
      </c>
      <c r="N23" s="360">
        <f t="shared" si="1"/>
        <v>5787.7877281298788</v>
      </c>
      <c r="O23" s="360">
        <f t="shared" si="2"/>
        <v>5716.2795781969589</v>
      </c>
      <c r="Q23" s="266">
        <v>71</v>
      </c>
      <c r="R23" s="266" t="s">
        <v>52</v>
      </c>
      <c r="S23" s="360">
        <f t="shared" si="3"/>
        <v>6473</v>
      </c>
      <c r="T23" s="360">
        <f t="shared" si="4"/>
        <v>6385.7874040419865</v>
      </c>
      <c r="U23" s="360">
        <f t="shared" si="5"/>
        <v>6301.6171079429732</v>
      </c>
      <c r="V23" s="360">
        <f t="shared" si="6"/>
        <v>6221.5032116559605</v>
      </c>
      <c r="W23" s="360">
        <f t="shared" si="7"/>
        <v>6145.4457151809484</v>
      </c>
      <c r="X23" s="360">
        <f t="shared" si="8"/>
        <v>6074.4587184709371</v>
      </c>
      <c r="Y23" s="360">
        <f t="shared" si="9"/>
        <v>6003.4717217609268</v>
      </c>
      <c r="Z23" s="360">
        <f t="shared" si="10"/>
        <v>5933.498825003916</v>
      </c>
      <c r="AA23" s="443">
        <v>0.98764499437576558</v>
      </c>
    </row>
    <row r="24" spans="1:27" x14ac:dyDescent="0.2">
      <c r="A24" s="154" t="s">
        <v>53</v>
      </c>
      <c r="B24" s="354">
        <v>949</v>
      </c>
      <c r="C24" s="354">
        <v>976</v>
      </c>
      <c r="D24" s="354">
        <v>960</v>
      </c>
      <c r="E24" s="354">
        <v>948</v>
      </c>
      <c r="F24" s="331">
        <v>941.89699570815446</v>
      </c>
      <c r="G24" s="336">
        <v>935.79399141630893</v>
      </c>
      <c r="H24" s="337">
        <v>929.6909871244635</v>
      </c>
      <c r="I24" s="337">
        <v>923.58798283261797</v>
      </c>
      <c r="J24" s="337">
        <v>916.46781115879821</v>
      </c>
      <c r="K24" s="337">
        <v>910.36480686695279</v>
      </c>
      <c r="L24" s="337">
        <v>904.26180257510725</v>
      </c>
      <c r="M24" s="360">
        <f t="shared" si="1"/>
        <v>898.18051669560862</v>
      </c>
      <c r="N24" s="360">
        <f t="shared" si="1"/>
        <v>892.14012830602155</v>
      </c>
      <c r="O24" s="360">
        <f t="shared" si="2"/>
        <v>886.14036236506126</v>
      </c>
      <c r="Q24" s="266">
        <v>72</v>
      </c>
      <c r="R24" s="266" t="s">
        <v>53</v>
      </c>
      <c r="S24" s="360">
        <f t="shared" si="3"/>
        <v>948</v>
      </c>
      <c r="T24" s="360">
        <f t="shared" si="4"/>
        <v>941.89699570815446</v>
      </c>
      <c r="U24" s="360">
        <f t="shared" si="5"/>
        <v>935.79399141630893</v>
      </c>
      <c r="V24" s="360">
        <f t="shared" si="6"/>
        <v>929.6909871244635</v>
      </c>
      <c r="W24" s="360">
        <f t="shared" si="7"/>
        <v>923.58798283261797</v>
      </c>
      <c r="X24" s="360">
        <f t="shared" si="8"/>
        <v>916.46781115879821</v>
      </c>
      <c r="Y24" s="360">
        <f t="shared" si="9"/>
        <v>910.36480686695279</v>
      </c>
      <c r="Z24" s="360">
        <f t="shared" si="10"/>
        <v>904.26180257510725</v>
      </c>
      <c r="AA24" s="443">
        <v>0.99327486148128707</v>
      </c>
    </row>
    <row r="25" spans="1:27" x14ac:dyDescent="0.2">
      <c r="A25" s="154" t="s">
        <v>54</v>
      </c>
      <c r="B25" s="354">
        <v>1103</v>
      </c>
      <c r="C25" s="354">
        <v>1107</v>
      </c>
      <c r="D25" s="354">
        <v>1052</v>
      </c>
      <c r="E25" s="354">
        <v>1013</v>
      </c>
      <c r="F25" s="331">
        <v>991.21505376344089</v>
      </c>
      <c r="G25" s="336">
        <v>969.43010752688167</v>
      </c>
      <c r="H25" s="337">
        <v>949.62561094819159</v>
      </c>
      <c r="I25" s="337">
        <v>930.81133919843603</v>
      </c>
      <c r="J25" s="337">
        <v>912.98729227761498</v>
      </c>
      <c r="K25" s="337">
        <v>896.15347018572834</v>
      </c>
      <c r="L25" s="337">
        <v>879.31964809384169</v>
      </c>
      <c r="M25" s="360">
        <f t="shared" si="1"/>
        <v>861.721151117359</v>
      </c>
      <c r="N25" s="360">
        <f t="shared" si="1"/>
        <v>844.47486632731227</v>
      </c>
      <c r="O25" s="360">
        <f t="shared" si="2"/>
        <v>827.57374463170015</v>
      </c>
      <c r="Q25" s="266">
        <v>74</v>
      </c>
      <c r="R25" s="266" t="s">
        <v>54</v>
      </c>
      <c r="S25" s="360">
        <f t="shared" si="3"/>
        <v>1013</v>
      </c>
      <c r="T25" s="360">
        <f t="shared" si="4"/>
        <v>991.21505376344089</v>
      </c>
      <c r="U25" s="360">
        <f t="shared" si="5"/>
        <v>969.43010752688167</v>
      </c>
      <c r="V25" s="360">
        <f t="shared" si="6"/>
        <v>949.62561094819159</v>
      </c>
      <c r="W25" s="360">
        <f t="shared" si="7"/>
        <v>930.81133919843603</v>
      </c>
      <c r="X25" s="360">
        <f t="shared" si="8"/>
        <v>912.98729227761498</v>
      </c>
      <c r="Y25" s="360">
        <f t="shared" si="9"/>
        <v>896.15347018572834</v>
      </c>
      <c r="Z25" s="360">
        <f t="shared" si="10"/>
        <v>879.31964809384169</v>
      </c>
      <c r="AA25" s="443">
        <v>0.97998623479569447</v>
      </c>
    </row>
    <row r="26" spans="1:27" x14ac:dyDescent="0.2">
      <c r="A26" s="154" t="s">
        <v>55</v>
      </c>
      <c r="B26" s="354">
        <v>19877</v>
      </c>
      <c r="C26" s="354">
        <v>19719</v>
      </c>
      <c r="D26" s="354">
        <v>19549</v>
      </c>
      <c r="E26" s="354">
        <v>19534</v>
      </c>
      <c r="F26" s="331">
        <v>19343.582495074148</v>
      </c>
      <c r="G26" s="336">
        <v>19157.216426423314</v>
      </c>
      <c r="H26" s="337">
        <v>18974.901794047499</v>
      </c>
      <c r="I26" s="337">
        <v>18796.638597946701</v>
      </c>
      <c r="J26" s="337">
        <v>18613.311106502129</v>
      </c>
      <c r="K26" s="337">
        <v>18435.047910401332</v>
      </c>
      <c r="L26" s="337">
        <v>18256.784714300535</v>
      </c>
      <c r="M26" s="360">
        <f t="shared" si="1"/>
        <v>18081.274008050601</v>
      </c>
      <c r="N26" s="360">
        <f t="shared" si="1"/>
        <v>17907.45056538461</v>
      </c>
      <c r="O26" s="360">
        <f t="shared" si="2"/>
        <v>17735.298165876684</v>
      </c>
      <c r="Q26" s="266">
        <v>75</v>
      </c>
      <c r="R26" s="266" t="s">
        <v>55</v>
      </c>
      <c r="S26" s="360">
        <f t="shared" si="3"/>
        <v>19534</v>
      </c>
      <c r="T26" s="360">
        <f t="shared" si="4"/>
        <v>19343.582495074148</v>
      </c>
      <c r="U26" s="360">
        <f t="shared" si="5"/>
        <v>19157.216426423314</v>
      </c>
      <c r="V26" s="360">
        <f t="shared" si="6"/>
        <v>18974.901794047499</v>
      </c>
      <c r="W26" s="360">
        <f t="shared" si="7"/>
        <v>18796.638597946701</v>
      </c>
      <c r="X26" s="360">
        <f t="shared" si="8"/>
        <v>18613.311106502129</v>
      </c>
      <c r="Y26" s="360">
        <f t="shared" si="9"/>
        <v>18435.047910401332</v>
      </c>
      <c r="Z26" s="360">
        <f t="shared" si="10"/>
        <v>18256.784714300535</v>
      </c>
      <c r="AA26" s="443">
        <v>0.99038654894624145</v>
      </c>
    </row>
    <row r="27" spans="1:27" x14ac:dyDescent="0.2">
      <c r="A27" s="154" t="s">
        <v>56</v>
      </c>
      <c r="B27" s="354">
        <v>4782</v>
      </c>
      <c r="C27" s="354">
        <v>4680</v>
      </c>
      <c r="D27" s="354">
        <v>4601</v>
      </c>
      <c r="E27" s="354">
        <v>4549</v>
      </c>
      <c r="F27" s="331">
        <v>4479.8632158590308</v>
      </c>
      <c r="G27" s="336">
        <v>4412.7303964757712</v>
      </c>
      <c r="H27" s="337">
        <v>4348.6035242290754</v>
      </c>
      <c r="I27" s="337">
        <v>4287.4825991189437</v>
      </c>
      <c r="J27" s="337">
        <v>4225.3596916299566</v>
      </c>
      <c r="K27" s="337">
        <v>4166.2427312775335</v>
      </c>
      <c r="L27" s="337">
        <v>4108.1277533039656</v>
      </c>
      <c r="M27" s="360">
        <f t="shared" si="1"/>
        <v>4048.7356042238175</v>
      </c>
      <c r="N27" s="360">
        <f t="shared" si="1"/>
        <v>3990.2021011216384</v>
      </c>
      <c r="O27" s="360">
        <f t="shared" si="2"/>
        <v>3932.5148303547689</v>
      </c>
      <c r="Q27" s="266">
        <v>77</v>
      </c>
      <c r="R27" s="266" t="s">
        <v>56</v>
      </c>
      <c r="S27" s="360">
        <f t="shared" si="3"/>
        <v>4549</v>
      </c>
      <c r="T27" s="360">
        <f t="shared" si="4"/>
        <v>4479.8632158590308</v>
      </c>
      <c r="U27" s="360">
        <f t="shared" si="5"/>
        <v>4412.7303964757712</v>
      </c>
      <c r="V27" s="360">
        <f t="shared" si="6"/>
        <v>4348.6035242290754</v>
      </c>
      <c r="W27" s="360">
        <f t="shared" si="7"/>
        <v>4287.4825991189437</v>
      </c>
      <c r="X27" s="360">
        <f t="shared" si="8"/>
        <v>4225.3596916299566</v>
      </c>
      <c r="Y27" s="360">
        <f t="shared" si="9"/>
        <v>4166.2427312775335</v>
      </c>
      <c r="Z27" s="360">
        <f t="shared" si="10"/>
        <v>4108.1277533039656</v>
      </c>
      <c r="AA27" s="443">
        <v>0.98554276968811838</v>
      </c>
    </row>
    <row r="28" spans="1:27" x14ac:dyDescent="0.2">
      <c r="A28" s="154" t="s">
        <v>57</v>
      </c>
      <c r="B28" s="354">
        <v>8042</v>
      </c>
      <c r="C28" s="354">
        <v>7909</v>
      </c>
      <c r="D28" s="354">
        <v>7832</v>
      </c>
      <c r="E28" s="354">
        <v>7721</v>
      </c>
      <c r="F28" s="331">
        <v>7589.8771721958929</v>
      </c>
      <c r="G28" s="336">
        <v>7468.9189046866777</v>
      </c>
      <c r="H28" s="337">
        <v>7355.0758293838871</v>
      </c>
      <c r="I28" s="337">
        <v>7243.2656661400742</v>
      </c>
      <c r="J28" s="337">
        <v>7139.5871511321748</v>
      </c>
      <c r="K28" s="337">
        <v>7037.9415481832548</v>
      </c>
      <c r="L28" s="337">
        <v>6941.3782253817799</v>
      </c>
      <c r="M28" s="360">
        <f t="shared" si="1"/>
        <v>6836.6283675322593</v>
      </c>
      <c r="N28" s="360">
        <f t="shared" si="1"/>
        <v>6733.4592523484207</v>
      </c>
      <c r="O28" s="360">
        <f t="shared" si="2"/>
        <v>6631.8470254076765</v>
      </c>
      <c r="Q28" s="266">
        <v>78</v>
      </c>
      <c r="R28" s="266" t="s">
        <v>57</v>
      </c>
      <c r="S28" s="360">
        <f t="shared" si="3"/>
        <v>7721</v>
      </c>
      <c r="T28" s="360">
        <f t="shared" si="4"/>
        <v>7589.8771721958929</v>
      </c>
      <c r="U28" s="360">
        <f t="shared" si="5"/>
        <v>7468.9189046866777</v>
      </c>
      <c r="V28" s="360">
        <f t="shared" si="6"/>
        <v>7355.0758293838871</v>
      </c>
      <c r="W28" s="360">
        <f t="shared" si="7"/>
        <v>7243.2656661400742</v>
      </c>
      <c r="X28" s="360">
        <f t="shared" si="8"/>
        <v>7139.5871511321748</v>
      </c>
      <c r="Y28" s="360">
        <f t="shared" si="9"/>
        <v>7037.9415481832548</v>
      </c>
      <c r="Z28" s="360">
        <f t="shared" si="10"/>
        <v>6941.3782253817799</v>
      </c>
      <c r="AA28" s="443">
        <v>0.98490935741457031</v>
      </c>
    </row>
    <row r="29" spans="1:27" x14ac:dyDescent="0.2">
      <c r="A29" s="154" t="s">
        <v>58</v>
      </c>
      <c r="B29" s="354">
        <v>6869</v>
      </c>
      <c r="C29" s="354">
        <v>6812</v>
      </c>
      <c r="D29" s="354">
        <v>6753</v>
      </c>
      <c r="E29" s="354">
        <v>6703</v>
      </c>
      <c r="F29" s="331">
        <v>6630.1852745926371</v>
      </c>
      <c r="G29" s="336">
        <v>6560.404496077248</v>
      </c>
      <c r="H29" s="337">
        <v>6494.6689800844897</v>
      </c>
      <c r="I29" s="337">
        <v>6430.9560953530472</v>
      </c>
      <c r="J29" s="337">
        <v>6371.2884731442364</v>
      </c>
      <c r="K29" s="337">
        <v>6312.6321665660835</v>
      </c>
      <c r="L29" s="337">
        <v>6251.9532287266138</v>
      </c>
      <c r="M29" s="360">
        <f t="shared" si="1"/>
        <v>6190.0458295750932</v>
      </c>
      <c r="N29" s="360">
        <f t="shared" si="1"/>
        <v>6128.7514430181154</v>
      </c>
      <c r="O29" s="360">
        <f t="shared" si="2"/>
        <v>6068.0639989502297</v>
      </c>
      <c r="Q29" s="266">
        <v>79</v>
      </c>
      <c r="R29" s="266" t="s">
        <v>58</v>
      </c>
      <c r="S29" s="360">
        <f t="shared" si="3"/>
        <v>6703</v>
      </c>
      <c r="T29" s="360">
        <f t="shared" si="4"/>
        <v>6630.1852745926371</v>
      </c>
      <c r="U29" s="360">
        <f t="shared" si="5"/>
        <v>6560.404496077248</v>
      </c>
      <c r="V29" s="360">
        <f t="shared" si="6"/>
        <v>6494.6689800844897</v>
      </c>
      <c r="W29" s="360">
        <f t="shared" si="7"/>
        <v>6430.9560953530472</v>
      </c>
      <c r="X29" s="360">
        <f t="shared" si="8"/>
        <v>6371.2884731442364</v>
      </c>
      <c r="Y29" s="360">
        <f t="shared" si="9"/>
        <v>6312.6321665660835</v>
      </c>
      <c r="Z29" s="360">
        <f t="shared" si="10"/>
        <v>6251.9532287266138</v>
      </c>
      <c r="AA29" s="443">
        <v>0.99009791070299957</v>
      </c>
    </row>
    <row r="30" spans="1:27" x14ac:dyDescent="0.2">
      <c r="A30" s="154" t="s">
        <v>59</v>
      </c>
      <c r="B30" s="354">
        <v>2655</v>
      </c>
      <c r="C30" s="354">
        <v>2602</v>
      </c>
      <c r="D30" s="354">
        <v>2574</v>
      </c>
      <c r="E30" s="354">
        <v>2531</v>
      </c>
      <c r="F30" s="331">
        <v>2479.8480194017784</v>
      </c>
      <c r="G30" s="336">
        <v>2432.7881972514147</v>
      </c>
      <c r="H30" s="337">
        <v>2390.8435731608729</v>
      </c>
      <c r="I30" s="337">
        <v>2351.9680679062244</v>
      </c>
      <c r="J30" s="337">
        <v>2317.1847210994338</v>
      </c>
      <c r="K30" s="337">
        <v>2283.4244139046077</v>
      </c>
      <c r="L30" s="337">
        <v>2251.7101859337104</v>
      </c>
      <c r="M30" s="360">
        <f t="shared" si="1"/>
        <v>2214.4166896792717</v>
      </c>
      <c r="N30" s="360">
        <f t="shared" si="1"/>
        <v>2177.7408594422309</v>
      </c>
      <c r="O30" s="360">
        <f t="shared" si="2"/>
        <v>2141.6724652536291</v>
      </c>
      <c r="Q30" s="266">
        <v>81</v>
      </c>
      <c r="R30" s="266" t="s">
        <v>59</v>
      </c>
      <c r="S30" s="360">
        <f t="shared" si="3"/>
        <v>2531</v>
      </c>
      <c r="T30" s="360">
        <f t="shared" si="4"/>
        <v>2479.8480194017784</v>
      </c>
      <c r="U30" s="360">
        <f t="shared" si="5"/>
        <v>2432.7881972514147</v>
      </c>
      <c r="V30" s="360">
        <f t="shared" si="6"/>
        <v>2390.8435731608729</v>
      </c>
      <c r="W30" s="360">
        <f t="shared" si="7"/>
        <v>2351.9680679062244</v>
      </c>
      <c r="X30" s="360">
        <f t="shared" si="8"/>
        <v>2317.1847210994338</v>
      </c>
      <c r="Y30" s="360">
        <f t="shared" si="9"/>
        <v>2283.4244139046077</v>
      </c>
      <c r="Z30" s="360">
        <f t="shared" si="10"/>
        <v>2251.7101859337104</v>
      </c>
      <c r="AA30" s="443">
        <v>0.98343770149133369</v>
      </c>
    </row>
    <row r="31" spans="1:27" x14ac:dyDescent="0.2">
      <c r="A31" s="154" t="s">
        <v>60</v>
      </c>
      <c r="B31" s="354">
        <v>9389</v>
      </c>
      <c r="C31" s="354">
        <v>9316</v>
      </c>
      <c r="D31" s="354">
        <v>9359</v>
      </c>
      <c r="E31" s="354">
        <v>9371</v>
      </c>
      <c r="F31" s="331">
        <v>9313.1543209876545</v>
      </c>
      <c r="G31" s="336">
        <v>9257.3383149231104</v>
      </c>
      <c r="H31" s="337">
        <v>9200.5074723846665</v>
      </c>
      <c r="I31" s="337">
        <v>9142.661793372321</v>
      </c>
      <c r="J31" s="337">
        <v>9084.8161143599755</v>
      </c>
      <c r="K31" s="337">
        <v>9025.9555988737284</v>
      </c>
      <c r="L31" s="337">
        <v>8967.0950833874813</v>
      </c>
      <c r="M31" s="360">
        <f t="shared" si="1"/>
        <v>8910.8335166100169</v>
      </c>
      <c r="N31" s="360">
        <f t="shared" si="1"/>
        <v>8854.9249475276611</v>
      </c>
      <c r="O31" s="360">
        <f t="shared" si="2"/>
        <v>8799.3671613536608</v>
      </c>
      <c r="Q31" s="266">
        <v>82</v>
      </c>
      <c r="R31" s="266" t="s">
        <v>60</v>
      </c>
      <c r="S31" s="360">
        <f t="shared" si="3"/>
        <v>9371</v>
      </c>
      <c r="T31" s="360">
        <f t="shared" si="4"/>
        <v>9313.1543209876545</v>
      </c>
      <c r="U31" s="360">
        <f t="shared" si="5"/>
        <v>9257.3383149231104</v>
      </c>
      <c r="V31" s="360">
        <f t="shared" si="6"/>
        <v>9200.5074723846665</v>
      </c>
      <c r="W31" s="360">
        <f t="shared" si="7"/>
        <v>9142.661793372321</v>
      </c>
      <c r="X31" s="360">
        <f t="shared" si="8"/>
        <v>9084.8161143599755</v>
      </c>
      <c r="Y31" s="360">
        <f t="shared" si="9"/>
        <v>9025.9555988737284</v>
      </c>
      <c r="Z31" s="360">
        <f t="shared" si="10"/>
        <v>8967.0950833874813</v>
      </c>
      <c r="AA31" s="443">
        <v>0.99372577559909059</v>
      </c>
    </row>
    <row r="32" spans="1:27" x14ac:dyDescent="0.2">
      <c r="A32" s="154" t="s">
        <v>61</v>
      </c>
      <c r="B32" s="354">
        <v>8175</v>
      </c>
      <c r="C32" s="354">
        <v>8166</v>
      </c>
      <c r="D32" s="354">
        <v>8031</v>
      </c>
      <c r="E32" s="354">
        <v>7998</v>
      </c>
      <c r="F32" s="331">
        <v>7911.8801621484672</v>
      </c>
      <c r="G32" s="336">
        <v>7832.8525462376492</v>
      </c>
      <c r="H32" s="337">
        <v>7759.9039777045855</v>
      </c>
      <c r="I32" s="337">
        <v>7692.0212819863182</v>
      </c>
      <c r="J32" s="337">
        <v>7624.1385862680509</v>
      </c>
      <c r="K32" s="337">
        <v>7562.3349379275387</v>
      </c>
      <c r="L32" s="337">
        <v>7502.5576387129458</v>
      </c>
      <c r="M32" s="360">
        <f t="shared" si="1"/>
        <v>7434.3345458696876</v>
      </c>
      <c r="N32" s="360">
        <f t="shared" si="1"/>
        <v>7366.7318268537601</v>
      </c>
      <c r="O32" s="360">
        <f t="shared" si="2"/>
        <v>7299.7438404127724</v>
      </c>
      <c r="Q32" s="266">
        <v>86</v>
      </c>
      <c r="R32" s="266" t="s">
        <v>61</v>
      </c>
      <c r="S32" s="360">
        <f t="shared" si="3"/>
        <v>7998</v>
      </c>
      <c r="T32" s="360">
        <f t="shared" si="4"/>
        <v>7911.8801621484672</v>
      </c>
      <c r="U32" s="360">
        <f t="shared" si="5"/>
        <v>7832.8525462376492</v>
      </c>
      <c r="V32" s="360">
        <f t="shared" si="6"/>
        <v>7759.9039777045855</v>
      </c>
      <c r="W32" s="360">
        <f t="shared" si="7"/>
        <v>7692.0212819863182</v>
      </c>
      <c r="X32" s="360">
        <f t="shared" si="8"/>
        <v>7624.1385862680509</v>
      </c>
      <c r="Y32" s="360">
        <f t="shared" si="9"/>
        <v>7562.3349379275387</v>
      </c>
      <c r="Z32" s="360">
        <f t="shared" si="10"/>
        <v>7502.5576387129458</v>
      </c>
      <c r="AA32" s="443">
        <v>0.99090668860826481</v>
      </c>
    </row>
    <row r="33" spans="1:27" x14ac:dyDescent="0.2">
      <c r="A33" s="154" t="s">
        <v>62</v>
      </c>
      <c r="B33" s="354">
        <v>18497</v>
      </c>
      <c r="C33" s="354">
        <v>18220</v>
      </c>
      <c r="D33" s="354">
        <v>18131</v>
      </c>
      <c r="E33" s="354">
        <v>17953</v>
      </c>
      <c r="F33" s="331">
        <v>17756.764854260091</v>
      </c>
      <c r="G33" s="336">
        <v>17572.60571748879</v>
      </c>
      <c r="H33" s="337">
        <v>17399.516255605384</v>
      </c>
      <c r="I33" s="337">
        <v>17235.483800448434</v>
      </c>
      <c r="J33" s="337">
        <v>17075.476681614353</v>
      </c>
      <c r="K33" s="337">
        <v>16923.520235426011</v>
      </c>
      <c r="L33" s="337">
        <v>16777.601793721977</v>
      </c>
      <c r="M33" s="360">
        <f t="shared" si="1"/>
        <v>16616.095812747859</v>
      </c>
      <c r="N33" s="360">
        <f t="shared" si="1"/>
        <v>16456.144534419036</v>
      </c>
      <c r="O33" s="360">
        <f t="shared" si="2"/>
        <v>16297.732992724337</v>
      </c>
      <c r="Q33" s="266">
        <v>111</v>
      </c>
      <c r="R33" s="266" t="s">
        <v>62</v>
      </c>
      <c r="S33" s="360">
        <f t="shared" si="3"/>
        <v>17953</v>
      </c>
      <c r="T33" s="360">
        <f t="shared" si="4"/>
        <v>17756.764854260091</v>
      </c>
      <c r="U33" s="360">
        <f t="shared" si="5"/>
        <v>17572.60571748879</v>
      </c>
      <c r="V33" s="360">
        <f t="shared" si="6"/>
        <v>17399.516255605384</v>
      </c>
      <c r="W33" s="360">
        <f t="shared" si="7"/>
        <v>17235.483800448434</v>
      </c>
      <c r="X33" s="360">
        <f t="shared" si="8"/>
        <v>17075.476681614353</v>
      </c>
      <c r="Y33" s="360">
        <f t="shared" si="9"/>
        <v>16923.520235426011</v>
      </c>
      <c r="Z33" s="360">
        <f t="shared" si="10"/>
        <v>16777.601793721977</v>
      </c>
      <c r="AA33" s="443">
        <v>0.9903737147323074</v>
      </c>
    </row>
    <row r="34" spans="1:27" x14ac:dyDescent="0.2">
      <c r="A34" s="154" t="s">
        <v>63</v>
      </c>
      <c r="B34" s="354">
        <v>3196</v>
      </c>
      <c r="C34" s="354">
        <v>3135</v>
      </c>
      <c r="D34" s="354">
        <v>3061</v>
      </c>
      <c r="E34" s="354">
        <v>3001</v>
      </c>
      <c r="F34" s="331">
        <v>2946.1462279827183</v>
      </c>
      <c r="G34" s="336">
        <v>2895.281821203057</v>
      </c>
      <c r="H34" s="337">
        <v>2847.4094383516112</v>
      </c>
      <c r="I34" s="337">
        <v>2798.5397141907606</v>
      </c>
      <c r="J34" s="337">
        <v>2750.6673313393148</v>
      </c>
      <c r="K34" s="337">
        <v>2706.7843137254895</v>
      </c>
      <c r="L34" s="337">
        <v>2663.8986374210695</v>
      </c>
      <c r="M34" s="360">
        <f t="shared" si="1"/>
        <v>2618.9380112587946</v>
      </c>
      <c r="N34" s="360">
        <f t="shared" si="1"/>
        <v>2574.7362194892803</v>
      </c>
      <c r="O34" s="360">
        <f t="shared" si="2"/>
        <v>2531.2804546922398</v>
      </c>
      <c r="Q34" s="266">
        <v>90</v>
      </c>
      <c r="R34" s="266" t="s">
        <v>63</v>
      </c>
      <c r="S34" s="360">
        <f t="shared" si="3"/>
        <v>3001</v>
      </c>
      <c r="T34" s="360">
        <f t="shared" si="4"/>
        <v>2946.1462279827183</v>
      </c>
      <c r="U34" s="360">
        <f t="shared" si="5"/>
        <v>2895.281821203057</v>
      </c>
      <c r="V34" s="360">
        <f t="shared" si="6"/>
        <v>2847.4094383516112</v>
      </c>
      <c r="W34" s="360">
        <f t="shared" si="7"/>
        <v>2798.5397141907606</v>
      </c>
      <c r="X34" s="360">
        <f t="shared" si="8"/>
        <v>2750.6673313393148</v>
      </c>
      <c r="Y34" s="360">
        <f t="shared" si="9"/>
        <v>2706.7843137254895</v>
      </c>
      <c r="Z34" s="360">
        <f t="shared" si="10"/>
        <v>2663.8986374210695</v>
      </c>
      <c r="AA34" s="443">
        <v>0.98312224589528618</v>
      </c>
    </row>
    <row r="35" spans="1:27" x14ac:dyDescent="0.2">
      <c r="A35" s="154" t="s">
        <v>64</v>
      </c>
      <c r="B35" s="354">
        <v>656920</v>
      </c>
      <c r="C35" s="354">
        <v>669339</v>
      </c>
      <c r="D35" s="354">
        <v>664028</v>
      </c>
      <c r="E35" s="354">
        <v>674500</v>
      </c>
      <c r="F35" s="331">
        <v>679277.52672118612</v>
      </c>
      <c r="G35" s="336">
        <v>683922.78969925211</v>
      </c>
      <c r="H35" s="337">
        <v>688425.76895365852</v>
      </c>
      <c r="I35" s="337">
        <v>692783.45849024365</v>
      </c>
      <c r="J35" s="337">
        <v>696988.84432262997</v>
      </c>
      <c r="K35" s="337">
        <v>701050.94443330285</v>
      </c>
      <c r="L35" s="337">
        <v>704945.71086896781</v>
      </c>
      <c r="M35" s="360">
        <f t="shared" si="1"/>
        <v>709405.95626627223</v>
      </c>
      <c r="N35" s="360">
        <f t="shared" si="1"/>
        <v>713894.42197713756</v>
      </c>
      <c r="O35" s="360">
        <f t="shared" si="2"/>
        <v>718411.28655364481</v>
      </c>
      <c r="Q35" s="266">
        <v>91</v>
      </c>
      <c r="R35" s="266" t="s">
        <v>64</v>
      </c>
      <c r="S35" s="360">
        <f t="shared" si="3"/>
        <v>674500</v>
      </c>
      <c r="T35" s="360">
        <f t="shared" si="4"/>
        <v>679277.52672118612</v>
      </c>
      <c r="U35" s="360">
        <f t="shared" si="5"/>
        <v>683922.78969925211</v>
      </c>
      <c r="V35" s="360">
        <f t="shared" si="6"/>
        <v>688425.76895365852</v>
      </c>
      <c r="W35" s="360">
        <f t="shared" si="7"/>
        <v>692783.45849024365</v>
      </c>
      <c r="X35" s="360">
        <f t="shared" si="8"/>
        <v>696988.84432262997</v>
      </c>
      <c r="Y35" s="360">
        <f t="shared" si="9"/>
        <v>701050.94443330285</v>
      </c>
      <c r="Z35" s="360">
        <f t="shared" si="10"/>
        <v>704945.71086896781</v>
      </c>
      <c r="AA35" s="443">
        <v>1.0063270764379946</v>
      </c>
    </row>
    <row r="36" spans="1:27" x14ac:dyDescent="0.2">
      <c r="A36" s="154" t="s">
        <v>65</v>
      </c>
      <c r="B36" s="354">
        <v>2156</v>
      </c>
      <c r="C36" s="354">
        <v>2029</v>
      </c>
      <c r="D36" s="354">
        <v>2091</v>
      </c>
      <c r="E36" s="354">
        <v>2062</v>
      </c>
      <c r="F36" s="331">
        <v>2049.3077651515155</v>
      </c>
      <c r="G36" s="336">
        <v>2036.6155303030307</v>
      </c>
      <c r="H36" s="337">
        <v>2024.8996212121217</v>
      </c>
      <c r="I36" s="337">
        <v>2015.1363636363642</v>
      </c>
      <c r="J36" s="337">
        <v>2003.4204545454552</v>
      </c>
      <c r="K36" s="337">
        <v>1989.7518939393947</v>
      </c>
      <c r="L36" s="337">
        <v>1977.0596590909099</v>
      </c>
      <c r="M36" s="360">
        <f t="shared" si="1"/>
        <v>1965.2147178486912</v>
      </c>
      <c r="N36" s="360">
        <f t="shared" si="1"/>
        <v>1953.4407419070826</v>
      </c>
      <c r="O36" s="360">
        <f t="shared" si="2"/>
        <v>1941.7373060994423</v>
      </c>
      <c r="Q36" s="266">
        <v>97</v>
      </c>
      <c r="R36" s="266" t="s">
        <v>65</v>
      </c>
      <c r="S36" s="360">
        <f t="shared" si="3"/>
        <v>2062</v>
      </c>
      <c r="T36" s="360">
        <f t="shared" si="4"/>
        <v>2049.3077651515155</v>
      </c>
      <c r="U36" s="360">
        <f t="shared" si="5"/>
        <v>2036.6155303030307</v>
      </c>
      <c r="V36" s="360">
        <f t="shared" si="6"/>
        <v>2024.8996212121217</v>
      </c>
      <c r="W36" s="360">
        <f t="shared" si="7"/>
        <v>2015.1363636363642</v>
      </c>
      <c r="X36" s="360">
        <f t="shared" si="8"/>
        <v>2003.4204545454552</v>
      </c>
      <c r="Y36" s="360">
        <f t="shared" si="9"/>
        <v>1989.7518939393947</v>
      </c>
      <c r="Z36" s="360">
        <f t="shared" si="10"/>
        <v>1977.0596590909099</v>
      </c>
      <c r="AA36" s="443">
        <v>0.99400880940150016</v>
      </c>
    </row>
    <row r="37" spans="1:27" x14ac:dyDescent="0.2">
      <c r="A37" s="154" t="s">
        <v>66</v>
      </c>
      <c r="B37" s="354">
        <v>23251</v>
      </c>
      <c r="C37" s="354">
        <v>23261</v>
      </c>
      <c r="D37" s="354">
        <v>22943</v>
      </c>
      <c r="E37" s="354">
        <v>22885</v>
      </c>
      <c r="F37" s="331">
        <v>22745.933155547784</v>
      </c>
      <c r="G37" s="331">
        <v>22607.866791990906</v>
      </c>
      <c r="H37" s="331">
        <v>22471.801390224708</v>
      </c>
      <c r="I37" s="331">
        <v>22343.739835621229</v>
      </c>
      <c r="J37" s="337">
        <v>22211.67635743639</v>
      </c>
      <c r="K37" s="337">
        <v>22080.61336014689</v>
      </c>
      <c r="L37" s="337">
        <v>21949.55036285739</v>
      </c>
      <c r="M37" s="360">
        <f t="shared" si="1"/>
        <v>21819.073456503153</v>
      </c>
      <c r="N37" s="360">
        <f t="shared" si="1"/>
        <v>21689.372157066158</v>
      </c>
      <c r="O37" s="360">
        <f t="shared" si="2"/>
        <v>21560.441854028675</v>
      </c>
      <c r="Q37" s="266">
        <v>98</v>
      </c>
      <c r="R37" s="266" t="s">
        <v>66</v>
      </c>
      <c r="S37" s="360">
        <f t="shared" si="3"/>
        <v>22885</v>
      </c>
      <c r="T37" s="360">
        <f t="shared" si="4"/>
        <v>22745.933155547784</v>
      </c>
      <c r="U37" s="360">
        <f t="shared" si="5"/>
        <v>22607.866791990906</v>
      </c>
      <c r="V37" s="360">
        <f t="shared" si="6"/>
        <v>22471.801390224708</v>
      </c>
      <c r="W37" s="360">
        <f t="shared" si="7"/>
        <v>22343.739835621229</v>
      </c>
      <c r="X37" s="360">
        <f t="shared" si="8"/>
        <v>22211.67635743639</v>
      </c>
      <c r="Y37" s="360">
        <f t="shared" si="9"/>
        <v>22080.61336014689</v>
      </c>
      <c r="Z37" s="360">
        <f t="shared" si="10"/>
        <v>21949.55036285739</v>
      </c>
      <c r="AA37" s="443">
        <v>0.99405560003748294</v>
      </c>
    </row>
    <row r="38" spans="1:27" x14ac:dyDescent="0.2">
      <c r="A38" s="154" t="s">
        <v>67</v>
      </c>
      <c r="B38" s="354">
        <v>9937</v>
      </c>
      <c r="C38" s="354">
        <v>9808</v>
      </c>
      <c r="D38" s="354">
        <v>9745</v>
      </c>
      <c r="E38" s="354">
        <v>9646</v>
      </c>
      <c r="F38" s="331">
        <v>9552.8067733222524</v>
      </c>
      <c r="G38" s="336">
        <v>9462.6197797631412</v>
      </c>
      <c r="H38" s="337">
        <v>9374.4369416164554</v>
      </c>
      <c r="I38" s="337">
        <v>9292.2665697070424</v>
      </c>
      <c r="J38" s="337">
        <v>9212.1003532100549</v>
      </c>
      <c r="K38" s="337">
        <v>9135.9424475379183</v>
      </c>
      <c r="L38" s="337">
        <v>9062.7907749844162</v>
      </c>
      <c r="M38" s="360">
        <f t="shared" si="1"/>
        <v>8982.4063599972815</v>
      </c>
      <c r="N38" s="360">
        <f t="shared" si="1"/>
        <v>8902.7349322492064</v>
      </c>
      <c r="O38" s="360">
        <f t="shared" si="2"/>
        <v>8823.7701677431432</v>
      </c>
      <c r="Q38" s="266">
        <v>102</v>
      </c>
      <c r="R38" s="266" t="s">
        <v>67</v>
      </c>
      <c r="S38" s="360">
        <f t="shared" si="3"/>
        <v>9646</v>
      </c>
      <c r="T38" s="360">
        <f t="shared" si="4"/>
        <v>9552.8067733222524</v>
      </c>
      <c r="U38" s="360">
        <f t="shared" si="5"/>
        <v>9462.6197797631412</v>
      </c>
      <c r="V38" s="360">
        <f t="shared" si="6"/>
        <v>9374.4369416164554</v>
      </c>
      <c r="W38" s="360">
        <f t="shared" si="7"/>
        <v>9292.2665697070424</v>
      </c>
      <c r="X38" s="360">
        <f t="shared" si="8"/>
        <v>9212.1003532100549</v>
      </c>
      <c r="Y38" s="360">
        <f t="shared" si="9"/>
        <v>9135.9424475379183</v>
      </c>
      <c r="Z38" s="360">
        <f t="shared" si="10"/>
        <v>9062.7907749844162</v>
      </c>
      <c r="AA38" s="443">
        <v>0.99113028017715965</v>
      </c>
    </row>
    <row r="39" spans="1:27" x14ac:dyDescent="0.2">
      <c r="A39" s="154" t="s">
        <v>68</v>
      </c>
      <c r="B39" s="354">
        <v>2174</v>
      </c>
      <c r="C39" s="354">
        <v>2104</v>
      </c>
      <c r="D39" s="354">
        <v>2161</v>
      </c>
      <c r="E39" s="354">
        <v>2125</v>
      </c>
      <c r="F39" s="331">
        <v>2104.8003802281369</v>
      </c>
      <c r="G39" s="336">
        <v>2084.6007604562737</v>
      </c>
      <c r="H39" s="337">
        <v>2062.3811787072241</v>
      </c>
      <c r="I39" s="337">
        <v>2041.1715779467679</v>
      </c>
      <c r="J39" s="337">
        <v>2022.9919201520911</v>
      </c>
      <c r="K39" s="337">
        <v>2003.802281368821</v>
      </c>
      <c r="L39" s="337">
        <v>1985.6226235741442</v>
      </c>
      <c r="M39" s="360">
        <f t="shared" si="1"/>
        <v>1966.472593577934</v>
      </c>
      <c r="N39" s="360">
        <f t="shared" si="1"/>
        <v>1947.5072530813809</v>
      </c>
      <c r="O39" s="360">
        <f t="shared" si="2"/>
        <v>1928.7248208751976</v>
      </c>
      <c r="P39" s="267"/>
      <c r="Q39" s="266">
        <v>103</v>
      </c>
      <c r="R39" s="266" t="s">
        <v>68</v>
      </c>
      <c r="S39" s="360">
        <f t="shared" si="3"/>
        <v>2125</v>
      </c>
      <c r="T39" s="360">
        <f t="shared" si="4"/>
        <v>2104.8003802281369</v>
      </c>
      <c r="U39" s="360">
        <f t="shared" si="5"/>
        <v>2084.6007604562737</v>
      </c>
      <c r="V39" s="360">
        <f t="shared" si="6"/>
        <v>2062.3811787072241</v>
      </c>
      <c r="W39" s="360">
        <f t="shared" si="7"/>
        <v>2041.1715779467679</v>
      </c>
      <c r="X39" s="360">
        <f t="shared" si="8"/>
        <v>2022.9919201520911</v>
      </c>
      <c r="Y39" s="360">
        <f t="shared" si="9"/>
        <v>2003.802281368821</v>
      </c>
      <c r="Z39" s="360">
        <f t="shared" si="10"/>
        <v>1985.6226235741442</v>
      </c>
      <c r="AA39" s="443">
        <v>0.9903556548113156</v>
      </c>
    </row>
    <row r="40" spans="1:27" x14ac:dyDescent="0.2">
      <c r="A40" s="154" t="s">
        <v>69</v>
      </c>
      <c r="B40" s="354">
        <v>2199</v>
      </c>
      <c r="C40" s="354">
        <v>2126</v>
      </c>
      <c r="D40" s="354">
        <v>2094</v>
      </c>
      <c r="E40" s="354">
        <v>2063</v>
      </c>
      <c r="F40" s="331">
        <v>2027.2598652550528</v>
      </c>
      <c r="G40" s="336">
        <v>1994.4980750721847</v>
      </c>
      <c r="H40" s="337">
        <v>1961.7362848893165</v>
      </c>
      <c r="I40" s="337">
        <v>1930.9600577478343</v>
      </c>
      <c r="J40" s="337">
        <v>1902.1693936477379</v>
      </c>
      <c r="K40" s="337">
        <v>1872.3859480269487</v>
      </c>
      <c r="L40" s="337">
        <v>1844.5880654475452</v>
      </c>
      <c r="M40" s="360">
        <f t="shared" si="1"/>
        <v>1815.3346905944495</v>
      </c>
      <c r="N40" s="360">
        <f t="shared" si="1"/>
        <v>1786.5452458492873</v>
      </c>
      <c r="O40" s="360">
        <f t="shared" si="2"/>
        <v>1758.2123737312163</v>
      </c>
      <c r="P40" s="445"/>
      <c r="Q40" s="444">
        <v>105</v>
      </c>
      <c r="R40" s="266" t="s">
        <v>69</v>
      </c>
      <c r="S40" s="360">
        <f t="shared" si="3"/>
        <v>2063</v>
      </c>
      <c r="T40" s="360">
        <f t="shared" si="4"/>
        <v>2027.2598652550528</v>
      </c>
      <c r="U40" s="360">
        <f t="shared" si="5"/>
        <v>1994.4980750721847</v>
      </c>
      <c r="V40" s="360">
        <f t="shared" si="6"/>
        <v>1961.7362848893165</v>
      </c>
      <c r="W40" s="360">
        <f t="shared" si="7"/>
        <v>1930.9600577478343</v>
      </c>
      <c r="X40" s="360">
        <f t="shared" si="8"/>
        <v>1902.1693936477379</v>
      </c>
      <c r="Y40" s="360">
        <f t="shared" si="9"/>
        <v>1872.3859480269487</v>
      </c>
      <c r="Z40" s="360">
        <f t="shared" si="10"/>
        <v>1844.5880654475452</v>
      </c>
      <c r="AA40" s="443">
        <v>0.98414097141737822</v>
      </c>
    </row>
    <row r="41" spans="1:27" x14ac:dyDescent="0.2">
      <c r="A41" s="154" t="s">
        <v>70</v>
      </c>
      <c r="B41" s="354">
        <v>46576</v>
      </c>
      <c r="C41" s="354">
        <v>46379</v>
      </c>
      <c r="D41" s="354">
        <v>46797</v>
      </c>
      <c r="E41" s="354">
        <v>46901</v>
      </c>
      <c r="F41" s="331">
        <v>46988.163544314615</v>
      </c>
      <c r="G41" s="336">
        <v>47071.319569350388</v>
      </c>
      <c r="H41" s="337">
        <v>47156.479354025585</v>
      </c>
      <c r="I41" s="337">
        <v>47239.635379061372</v>
      </c>
      <c r="J41" s="337">
        <v>47324.79516373657</v>
      </c>
      <c r="K41" s="337">
        <v>47412.96058787089</v>
      </c>
      <c r="L41" s="337">
        <v>47498.120372546087</v>
      </c>
      <c r="M41" s="360">
        <f t="shared" si="1"/>
        <v>47584.041660986215</v>
      </c>
      <c r="N41" s="360">
        <f t="shared" si="1"/>
        <v>47670.118375951628</v>
      </c>
      <c r="O41" s="360">
        <f t="shared" si="2"/>
        <v>47756.35079859972</v>
      </c>
      <c r="Q41" s="266">
        <v>106</v>
      </c>
      <c r="R41" s="266" t="s">
        <v>70</v>
      </c>
      <c r="S41" s="360">
        <f t="shared" si="3"/>
        <v>46901</v>
      </c>
      <c r="T41" s="360">
        <f t="shared" si="4"/>
        <v>46988.163544314615</v>
      </c>
      <c r="U41" s="360">
        <f t="shared" si="5"/>
        <v>47071.319569350388</v>
      </c>
      <c r="V41" s="360">
        <f t="shared" si="6"/>
        <v>47156.479354025585</v>
      </c>
      <c r="W41" s="360">
        <f t="shared" si="7"/>
        <v>47239.635379061372</v>
      </c>
      <c r="X41" s="360">
        <f t="shared" si="8"/>
        <v>47324.79516373657</v>
      </c>
      <c r="Y41" s="360">
        <f t="shared" si="9"/>
        <v>47412.96058787089</v>
      </c>
      <c r="Z41" s="360">
        <f t="shared" si="10"/>
        <v>47498.120372546087</v>
      </c>
      <c r="AA41" s="443">
        <v>1.001808940812104</v>
      </c>
    </row>
    <row r="42" spans="1:27" x14ac:dyDescent="0.2">
      <c r="A42" s="154" t="s">
        <v>71</v>
      </c>
      <c r="B42" s="354">
        <v>10344</v>
      </c>
      <c r="C42" s="354">
        <v>10376</v>
      </c>
      <c r="D42" s="354">
        <v>10257</v>
      </c>
      <c r="E42" s="354">
        <v>10319</v>
      </c>
      <c r="F42" s="331">
        <v>10253.735052870838</v>
      </c>
      <c r="G42" s="336">
        <v>10192.549164937247</v>
      </c>
      <c r="H42" s="337">
        <v>10138.501630595909</v>
      </c>
      <c r="I42" s="337">
        <v>10089.552920249038</v>
      </c>
      <c r="J42" s="337">
        <v>10041.623974701059</v>
      </c>
      <c r="K42" s="337">
        <v>9993.6950291530793</v>
      </c>
      <c r="L42" s="337">
        <v>9947.8056132028869</v>
      </c>
      <c r="M42" s="360">
        <f t="shared" si="1"/>
        <v>9895.8812118418464</v>
      </c>
      <c r="N42" s="360">
        <f t="shared" si="1"/>
        <v>9844.2278394455388</v>
      </c>
      <c r="O42" s="360">
        <f t="shared" si="2"/>
        <v>9792.8440813284233</v>
      </c>
      <c r="Q42" s="266">
        <v>108</v>
      </c>
      <c r="R42" s="266" t="s">
        <v>71</v>
      </c>
      <c r="S42" s="360">
        <f t="shared" si="3"/>
        <v>10319</v>
      </c>
      <c r="T42" s="360">
        <f t="shared" si="4"/>
        <v>10253.735052870838</v>
      </c>
      <c r="U42" s="360">
        <f t="shared" si="5"/>
        <v>10192.549164937247</v>
      </c>
      <c r="V42" s="360">
        <f t="shared" si="6"/>
        <v>10138.501630595909</v>
      </c>
      <c r="W42" s="360">
        <f t="shared" si="7"/>
        <v>10089.552920249038</v>
      </c>
      <c r="X42" s="360">
        <f t="shared" si="8"/>
        <v>10041.623974701059</v>
      </c>
      <c r="Y42" s="360">
        <f t="shared" si="9"/>
        <v>9993.6950291530793</v>
      </c>
      <c r="Z42" s="360">
        <f t="shared" si="10"/>
        <v>9947.8056132028869</v>
      </c>
      <c r="AA42" s="443">
        <v>0.99478031604355788</v>
      </c>
    </row>
    <row r="43" spans="1:27" x14ac:dyDescent="0.2">
      <c r="A43" s="154" t="s">
        <v>72</v>
      </c>
      <c r="B43" s="354">
        <v>67848</v>
      </c>
      <c r="C43" s="354">
        <v>67066</v>
      </c>
      <c r="D43" s="354">
        <v>68043</v>
      </c>
      <c r="E43" s="354">
        <v>68319</v>
      </c>
      <c r="F43" s="331">
        <v>68352.13921389934</v>
      </c>
      <c r="G43" s="336">
        <v>68377.244678974588</v>
      </c>
      <c r="H43" s="337">
        <v>68396.324832431783</v>
      </c>
      <c r="I43" s="337">
        <v>68407.371237064901</v>
      </c>
      <c r="J43" s="337">
        <v>68406.367018461882</v>
      </c>
      <c r="K43" s="337">
        <v>68399.33748824081</v>
      </c>
      <c r="L43" s="337">
        <v>68383.269990592642</v>
      </c>
      <c r="M43" s="360">
        <f t="shared" si="1"/>
        <v>68392.458372667257</v>
      </c>
      <c r="N43" s="360">
        <f t="shared" si="1"/>
        <v>68401.647989347417</v>
      </c>
      <c r="O43" s="360">
        <f t="shared" si="2"/>
        <v>68410.838840799028</v>
      </c>
      <c r="Q43" s="266">
        <v>109</v>
      </c>
      <c r="R43" s="266" t="s">
        <v>72</v>
      </c>
      <c r="S43" s="360">
        <f t="shared" si="3"/>
        <v>68319</v>
      </c>
      <c r="T43" s="360">
        <f t="shared" si="4"/>
        <v>68352.13921389934</v>
      </c>
      <c r="U43" s="360">
        <f t="shared" si="5"/>
        <v>68377.244678974588</v>
      </c>
      <c r="V43" s="360">
        <f t="shared" si="6"/>
        <v>68396.324832431783</v>
      </c>
      <c r="W43" s="360">
        <f t="shared" si="7"/>
        <v>68407.371237064901</v>
      </c>
      <c r="X43" s="360">
        <f t="shared" si="8"/>
        <v>68406.367018461882</v>
      </c>
      <c r="Y43" s="360">
        <f t="shared" si="9"/>
        <v>68399.33748824081</v>
      </c>
      <c r="Z43" s="360">
        <f t="shared" si="10"/>
        <v>68383.269990592642</v>
      </c>
      <c r="AA43" s="443">
        <v>1.0001343659359354</v>
      </c>
    </row>
    <row r="44" spans="1:27" x14ac:dyDescent="0.2">
      <c r="A44" s="154" t="s">
        <v>73</v>
      </c>
      <c r="B44" s="354">
        <v>9848</v>
      </c>
      <c r="C44" s="354">
        <v>9711</v>
      </c>
      <c r="D44" s="354">
        <v>9853</v>
      </c>
      <c r="E44" s="354">
        <v>9766</v>
      </c>
      <c r="F44" s="331">
        <v>9724.8271465295638</v>
      </c>
      <c r="G44" s="336">
        <v>9681.6458611825201</v>
      </c>
      <c r="H44" s="337">
        <v>9637.4603598971735</v>
      </c>
      <c r="I44" s="337">
        <v>9591.2664267352193</v>
      </c>
      <c r="J44" s="337">
        <v>9547.0809254498727</v>
      </c>
      <c r="K44" s="337">
        <v>9507.9165038560423</v>
      </c>
      <c r="L44" s="337">
        <v>9469.7562982005147</v>
      </c>
      <c r="M44" s="360">
        <f t="shared" si="1"/>
        <v>9428.176132657436</v>
      </c>
      <c r="N44" s="360">
        <f t="shared" si="1"/>
        <v>9386.7785388841203</v>
      </c>
      <c r="O44" s="360">
        <f t="shared" si="2"/>
        <v>9345.5627152375091</v>
      </c>
      <c r="Q44" s="266">
        <v>139</v>
      </c>
      <c r="R44" s="266" t="s">
        <v>73</v>
      </c>
      <c r="S44" s="360">
        <f t="shared" si="3"/>
        <v>9766</v>
      </c>
      <c r="T44" s="360">
        <f t="shared" si="4"/>
        <v>9724.8271465295638</v>
      </c>
      <c r="U44" s="360">
        <f t="shared" si="5"/>
        <v>9681.6458611825201</v>
      </c>
      <c r="V44" s="360">
        <f t="shared" si="6"/>
        <v>9637.4603598971735</v>
      </c>
      <c r="W44" s="360">
        <f t="shared" si="7"/>
        <v>9591.2664267352193</v>
      </c>
      <c r="X44" s="360">
        <f t="shared" si="8"/>
        <v>9547.0809254498727</v>
      </c>
      <c r="Y44" s="360">
        <f t="shared" si="9"/>
        <v>9507.9165038560423</v>
      </c>
      <c r="Z44" s="360">
        <f t="shared" si="10"/>
        <v>9469.7562982005147</v>
      </c>
      <c r="AA44" s="443">
        <v>0.99560916202764582</v>
      </c>
    </row>
    <row r="45" spans="1:27" x14ac:dyDescent="0.2">
      <c r="A45" s="154" t="s">
        <v>74</v>
      </c>
      <c r="B45" s="354">
        <v>21124</v>
      </c>
      <c r="C45" s="354">
        <v>20923</v>
      </c>
      <c r="D45" s="354">
        <v>20801</v>
      </c>
      <c r="E45" s="354">
        <v>20618</v>
      </c>
      <c r="F45" s="331">
        <v>20453.040003879163</v>
      </c>
      <c r="G45" s="336">
        <v>20291.07928041507</v>
      </c>
      <c r="H45" s="337">
        <v>20131.118072055473</v>
      </c>
      <c r="I45" s="337">
        <v>19972.156621248123</v>
      </c>
      <c r="J45" s="337">
        <v>19816.194443097513</v>
      </c>
      <c r="K45" s="337">
        <v>19660.232264946902</v>
      </c>
      <c r="L45" s="337">
        <v>19503.270329244046</v>
      </c>
      <c r="M45" s="360">
        <f t="shared" si="1"/>
        <v>19349.021141467168</v>
      </c>
      <c r="N45" s="360">
        <f t="shared" si="1"/>
        <v>19195.991893296734</v>
      </c>
      <c r="O45" s="360">
        <f t="shared" si="2"/>
        <v>19044.172936366587</v>
      </c>
      <c r="Q45" s="266">
        <v>140</v>
      </c>
      <c r="R45" s="266" t="s">
        <v>74</v>
      </c>
      <c r="S45" s="360">
        <f t="shared" si="3"/>
        <v>20618</v>
      </c>
      <c r="T45" s="360">
        <f t="shared" si="4"/>
        <v>20453.040003879163</v>
      </c>
      <c r="U45" s="360">
        <f t="shared" si="5"/>
        <v>20291.07928041507</v>
      </c>
      <c r="V45" s="360">
        <f t="shared" si="6"/>
        <v>20131.118072055473</v>
      </c>
      <c r="W45" s="360">
        <f t="shared" si="7"/>
        <v>19972.156621248123</v>
      </c>
      <c r="X45" s="360">
        <f t="shared" si="8"/>
        <v>19816.194443097513</v>
      </c>
      <c r="Y45" s="360">
        <f t="shared" si="9"/>
        <v>19660.232264946902</v>
      </c>
      <c r="Z45" s="360">
        <f t="shared" si="10"/>
        <v>19503.270329244046</v>
      </c>
      <c r="AA45" s="443">
        <v>0.99209111163548869</v>
      </c>
    </row>
    <row r="46" spans="1:27" x14ac:dyDescent="0.2">
      <c r="A46" s="154" t="s">
        <v>75</v>
      </c>
      <c r="B46" s="354">
        <v>6625</v>
      </c>
      <c r="C46" s="354">
        <v>6611</v>
      </c>
      <c r="D46" s="354">
        <v>6504</v>
      </c>
      <c r="E46" s="354">
        <v>6444</v>
      </c>
      <c r="F46" s="331">
        <v>6392.1368209255534</v>
      </c>
      <c r="G46" s="336">
        <v>6338.278904194397</v>
      </c>
      <c r="H46" s="337">
        <v>6288.4104627766601</v>
      </c>
      <c r="I46" s="337">
        <v>6239.5393901872776</v>
      </c>
      <c r="J46" s="337">
        <v>6191.6656864262495</v>
      </c>
      <c r="K46" s="337">
        <v>6146.7840891502856</v>
      </c>
      <c r="L46" s="337">
        <v>6099.9077542176128</v>
      </c>
      <c r="M46" s="360">
        <f t="shared" si="1"/>
        <v>6052.2754277888971</v>
      </c>
      <c r="N46" s="360">
        <f t="shared" si="1"/>
        <v>6005.0150477260004</v>
      </c>
      <c r="O46" s="360">
        <f t="shared" si="2"/>
        <v>5958.1237096127534</v>
      </c>
      <c r="Q46" s="266">
        <v>142</v>
      </c>
      <c r="R46" s="266" t="s">
        <v>75</v>
      </c>
      <c r="S46" s="360">
        <f t="shared" si="3"/>
        <v>6444</v>
      </c>
      <c r="T46" s="360">
        <f t="shared" si="4"/>
        <v>6392.1368209255534</v>
      </c>
      <c r="U46" s="360">
        <f t="shared" si="5"/>
        <v>6338.278904194397</v>
      </c>
      <c r="V46" s="360">
        <f t="shared" si="6"/>
        <v>6288.4104627766601</v>
      </c>
      <c r="W46" s="360">
        <f t="shared" si="7"/>
        <v>6239.5393901872776</v>
      </c>
      <c r="X46" s="360">
        <f t="shared" si="8"/>
        <v>6191.6656864262495</v>
      </c>
      <c r="Y46" s="360">
        <f t="shared" si="9"/>
        <v>6146.7840891502856</v>
      </c>
      <c r="Z46" s="360">
        <f t="shared" si="10"/>
        <v>6099.9077542176128</v>
      </c>
      <c r="AA46" s="443">
        <v>0.99219130381180243</v>
      </c>
    </row>
    <row r="47" spans="1:27" x14ac:dyDescent="0.2">
      <c r="A47" s="154" t="s">
        <v>76</v>
      </c>
      <c r="B47" s="354">
        <v>6866</v>
      </c>
      <c r="C47" s="354">
        <v>6786</v>
      </c>
      <c r="D47" s="354">
        <v>6804</v>
      </c>
      <c r="E47" s="354">
        <v>6850</v>
      </c>
      <c r="F47" s="331">
        <v>6794.7415596056171</v>
      </c>
      <c r="G47" s="336">
        <v>6743.5763370182258</v>
      </c>
      <c r="H47" s="337">
        <v>6695.481027786077</v>
      </c>
      <c r="I47" s="337">
        <v>6648.4090230056763</v>
      </c>
      <c r="J47" s="337">
        <v>6603.3836271287719</v>
      </c>
      <c r="K47" s="337">
        <v>6556.3116223483712</v>
      </c>
      <c r="L47" s="337">
        <v>6512.309530923214</v>
      </c>
      <c r="M47" s="360">
        <f t="shared" si="1"/>
        <v>6465.4472197275454</v>
      </c>
      <c r="N47" s="360">
        <f t="shared" si="1"/>
        <v>6418.9221277933648</v>
      </c>
      <c r="O47" s="360">
        <f t="shared" si="2"/>
        <v>6372.731828504754</v>
      </c>
      <c r="Q47" s="266">
        <v>143</v>
      </c>
      <c r="R47" s="266" t="s">
        <v>76</v>
      </c>
      <c r="S47" s="360">
        <f t="shared" si="3"/>
        <v>6850</v>
      </c>
      <c r="T47" s="360">
        <f t="shared" si="4"/>
        <v>6794.7415596056171</v>
      </c>
      <c r="U47" s="360">
        <f t="shared" si="5"/>
        <v>6743.5763370182258</v>
      </c>
      <c r="V47" s="360">
        <f t="shared" si="6"/>
        <v>6695.481027786077</v>
      </c>
      <c r="W47" s="360">
        <f t="shared" si="7"/>
        <v>6648.4090230056763</v>
      </c>
      <c r="X47" s="360">
        <f t="shared" si="8"/>
        <v>6603.3836271287719</v>
      </c>
      <c r="Y47" s="360">
        <f t="shared" si="9"/>
        <v>6556.3116223483712</v>
      </c>
      <c r="Z47" s="360">
        <f t="shared" si="10"/>
        <v>6512.309530923214</v>
      </c>
      <c r="AA47" s="443">
        <v>0.99280404118183474</v>
      </c>
    </row>
    <row r="48" spans="1:27" x14ac:dyDescent="0.2">
      <c r="A48" s="154" t="s">
        <v>77</v>
      </c>
      <c r="B48" s="354">
        <v>12294</v>
      </c>
      <c r="C48" s="354">
        <v>12233</v>
      </c>
      <c r="D48" s="354">
        <v>12369</v>
      </c>
      <c r="E48" s="354">
        <v>12343</v>
      </c>
      <c r="F48" s="331">
        <v>12369.854230459308</v>
      </c>
      <c r="G48" s="336">
        <v>12388.751651893635</v>
      </c>
      <c r="H48" s="337">
        <v>12401.681466559226</v>
      </c>
      <c r="I48" s="337">
        <v>12409.638275584206</v>
      </c>
      <c r="J48" s="337">
        <v>12409.638275584206</v>
      </c>
      <c r="K48" s="337">
        <v>12409.638275584206</v>
      </c>
      <c r="L48" s="337">
        <v>12405.659871071717</v>
      </c>
      <c r="M48" s="360">
        <f t="shared" si="1"/>
        <v>12414.641638617337</v>
      </c>
      <c r="N48" s="360">
        <f t="shared" si="1"/>
        <v>12423.629909013196</v>
      </c>
      <c r="O48" s="360">
        <f t="shared" si="2"/>
        <v>12432.624686967392</v>
      </c>
      <c r="Q48" s="266">
        <v>145</v>
      </c>
      <c r="R48" s="266" t="s">
        <v>77</v>
      </c>
      <c r="S48" s="360">
        <f t="shared" si="3"/>
        <v>12343</v>
      </c>
      <c r="T48" s="360">
        <f t="shared" si="4"/>
        <v>12369.854230459308</v>
      </c>
      <c r="U48" s="360">
        <f t="shared" si="5"/>
        <v>12388.751651893635</v>
      </c>
      <c r="V48" s="360">
        <f t="shared" si="6"/>
        <v>12401.681466559226</v>
      </c>
      <c r="W48" s="360">
        <f t="shared" si="7"/>
        <v>12409.638275584206</v>
      </c>
      <c r="X48" s="360">
        <f t="shared" si="8"/>
        <v>12409.638275584206</v>
      </c>
      <c r="Y48" s="360">
        <f t="shared" si="9"/>
        <v>12409.638275584206</v>
      </c>
      <c r="Z48" s="360">
        <f t="shared" si="10"/>
        <v>12405.659871071717</v>
      </c>
      <c r="AA48" s="443">
        <v>1.0007240056263806</v>
      </c>
    </row>
    <row r="49" spans="1:27" x14ac:dyDescent="0.2">
      <c r="A49" s="154" t="s">
        <v>78</v>
      </c>
      <c r="B49" s="354">
        <v>4749</v>
      </c>
      <c r="C49" s="354">
        <v>4614</v>
      </c>
      <c r="D49" s="354">
        <v>4492</v>
      </c>
      <c r="E49" s="354">
        <v>4406</v>
      </c>
      <c r="F49" s="331">
        <v>4317.7014185994149</v>
      </c>
      <c r="G49" s="336">
        <v>4236.3476694438195</v>
      </c>
      <c r="H49" s="337">
        <v>4157.9702769646483</v>
      </c>
      <c r="I49" s="337">
        <v>4082.5692411619011</v>
      </c>
      <c r="J49" s="337">
        <v>4010.144562035578</v>
      </c>
      <c r="K49" s="337">
        <v>3941.6883584778207</v>
      </c>
      <c r="L49" s="337">
        <v>3877.200630488629</v>
      </c>
      <c r="M49" s="360">
        <f t="shared" si="1"/>
        <v>3807.0294601242549</v>
      </c>
      <c r="N49" s="360">
        <f t="shared" si="1"/>
        <v>3738.1282764383068</v>
      </c>
      <c r="O49" s="360">
        <f t="shared" si="2"/>
        <v>3670.4740946899719</v>
      </c>
      <c r="Q49" s="266">
        <v>146</v>
      </c>
      <c r="R49" s="266" t="s">
        <v>78</v>
      </c>
      <c r="S49" s="360">
        <f t="shared" si="3"/>
        <v>4406</v>
      </c>
      <c r="T49" s="360">
        <f t="shared" si="4"/>
        <v>4317.7014185994149</v>
      </c>
      <c r="U49" s="360">
        <f t="shared" si="5"/>
        <v>4236.3476694438195</v>
      </c>
      <c r="V49" s="360">
        <f t="shared" si="6"/>
        <v>4157.9702769646483</v>
      </c>
      <c r="W49" s="360">
        <f t="shared" si="7"/>
        <v>4082.5692411619011</v>
      </c>
      <c r="X49" s="360">
        <f t="shared" si="8"/>
        <v>4010.144562035578</v>
      </c>
      <c r="Y49" s="360">
        <f t="shared" si="9"/>
        <v>3941.6883584778207</v>
      </c>
      <c r="Z49" s="360">
        <f t="shared" si="10"/>
        <v>3877.200630488629</v>
      </c>
      <c r="AA49" s="443">
        <v>0.981901589045308</v>
      </c>
    </row>
    <row r="50" spans="1:27" x14ac:dyDescent="0.2">
      <c r="A50" s="154" t="s">
        <v>79</v>
      </c>
      <c r="B50" s="354">
        <v>26075</v>
      </c>
      <c r="C50" s="354">
        <v>26042</v>
      </c>
      <c r="D50" s="354">
        <v>25208</v>
      </c>
      <c r="E50" s="354">
        <v>24919</v>
      </c>
      <c r="F50" s="331">
        <v>24589.717833047227</v>
      </c>
      <c r="G50" s="336">
        <v>24266.40452712683</v>
      </c>
      <c r="H50" s="337">
        <v>23952.044512754997</v>
      </c>
      <c r="I50" s="337">
        <v>23651.611840792044</v>
      </c>
      <c r="J50" s="337">
        <v>23369.085751926221</v>
      </c>
      <c r="K50" s="337">
        <v>23091.533713920711</v>
      </c>
      <c r="L50" s="337">
        <v>22819.950536947577</v>
      </c>
      <c r="M50" s="360">
        <f t="shared" si="1"/>
        <v>22534.88564428077</v>
      </c>
      <c r="N50" s="360">
        <f t="shared" si="1"/>
        <v>22253.381758150746</v>
      </c>
      <c r="O50" s="360">
        <f t="shared" si="2"/>
        <v>21975.394394764931</v>
      </c>
      <c r="Q50" s="266">
        <v>153</v>
      </c>
      <c r="R50" s="266" t="s">
        <v>79</v>
      </c>
      <c r="S50" s="360">
        <f t="shared" si="3"/>
        <v>24919</v>
      </c>
      <c r="T50" s="360">
        <f t="shared" si="4"/>
        <v>24589.717833047227</v>
      </c>
      <c r="U50" s="360">
        <f t="shared" si="5"/>
        <v>24266.40452712683</v>
      </c>
      <c r="V50" s="360">
        <f t="shared" si="6"/>
        <v>23952.044512754997</v>
      </c>
      <c r="W50" s="360">
        <f t="shared" si="7"/>
        <v>23651.611840792044</v>
      </c>
      <c r="X50" s="360">
        <f t="shared" si="8"/>
        <v>23369.085751926221</v>
      </c>
      <c r="Y50" s="360">
        <f t="shared" si="9"/>
        <v>23091.533713920711</v>
      </c>
      <c r="Z50" s="360">
        <f t="shared" si="10"/>
        <v>22819.950536947577</v>
      </c>
      <c r="AA50" s="443">
        <v>0.98750808455061012</v>
      </c>
    </row>
    <row r="51" spans="1:27" x14ac:dyDescent="0.2">
      <c r="A51" s="154" t="s">
        <v>80</v>
      </c>
      <c r="B51" s="354">
        <v>6862</v>
      </c>
      <c r="C51" s="354">
        <v>7018</v>
      </c>
      <c r="D51" s="354">
        <v>7047</v>
      </c>
      <c r="E51" s="354">
        <v>7127</v>
      </c>
      <c r="F51" s="331">
        <v>7136.3190469272122</v>
      </c>
      <c r="G51" s="336">
        <v>7144.6026441958447</v>
      </c>
      <c r="H51" s="337">
        <v>7150.8153421473198</v>
      </c>
      <c r="I51" s="337">
        <v>7158.0634897573727</v>
      </c>
      <c r="J51" s="337">
        <v>7165.3116373674266</v>
      </c>
      <c r="K51" s="337">
        <v>7169.4534360017433</v>
      </c>
      <c r="L51" s="337">
        <v>7173.59523463606</v>
      </c>
      <c r="M51" s="360">
        <f t="shared" si="1"/>
        <v>7180.276754509955</v>
      </c>
      <c r="N51" s="360">
        <f t="shared" si="1"/>
        <v>7186.9644975824503</v>
      </c>
      <c r="O51" s="360">
        <f t="shared" si="2"/>
        <v>7193.6584696498621</v>
      </c>
      <c r="Q51" s="266">
        <v>148</v>
      </c>
      <c r="R51" s="266" t="s">
        <v>80</v>
      </c>
      <c r="S51" s="360">
        <f t="shared" si="3"/>
        <v>7127</v>
      </c>
      <c r="T51" s="360">
        <f t="shared" si="4"/>
        <v>7136.3190469272122</v>
      </c>
      <c r="U51" s="360">
        <f t="shared" si="5"/>
        <v>7144.6026441958447</v>
      </c>
      <c r="V51" s="360">
        <f t="shared" si="6"/>
        <v>7150.8153421473198</v>
      </c>
      <c r="W51" s="360">
        <f t="shared" si="7"/>
        <v>7158.0634897573727</v>
      </c>
      <c r="X51" s="360">
        <f t="shared" si="8"/>
        <v>7165.3116373674266</v>
      </c>
      <c r="Y51" s="360">
        <f t="shared" si="9"/>
        <v>7169.4534360017433</v>
      </c>
      <c r="Z51" s="360">
        <f t="shared" si="10"/>
        <v>7173.59523463606</v>
      </c>
      <c r="AA51" s="443">
        <v>1.0009314046381701</v>
      </c>
    </row>
    <row r="52" spans="1:27" x14ac:dyDescent="0.2">
      <c r="A52" s="154" t="s">
        <v>81</v>
      </c>
      <c r="B52" s="354">
        <v>5321</v>
      </c>
      <c r="C52" s="354">
        <v>5301</v>
      </c>
      <c r="D52" s="354">
        <v>5384</v>
      </c>
      <c r="E52" s="354">
        <v>5379</v>
      </c>
      <c r="F52" s="331">
        <v>5349.0765394206792</v>
      </c>
      <c r="G52" s="336">
        <v>5325.3441396508733</v>
      </c>
      <c r="H52" s="337">
        <v>5300.5798964128144</v>
      </c>
      <c r="I52" s="337">
        <v>5278.9111835795129</v>
      </c>
      <c r="J52" s="337">
        <v>5258.2743142144645</v>
      </c>
      <c r="K52" s="337">
        <v>5237.6374448494162</v>
      </c>
      <c r="L52" s="337">
        <v>5220.0961058891244</v>
      </c>
      <c r="M52" s="360">
        <f t="shared" si="1"/>
        <v>5197.783148634443</v>
      </c>
      <c r="N52" s="360">
        <f t="shared" si="1"/>
        <v>5175.5655666470648</v>
      </c>
      <c r="O52" s="360">
        <f t="shared" si="2"/>
        <v>5153.4429522516875</v>
      </c>
      <c r="Q52" s="266">
        <v>149</v>
      </c>
      <c r="R52" s="266" t="s">
        <v>81</v>
      </c>
      <c r="S52" s="360">
        <f t="shared" si="3"/>
        <v>5379</v>
      </c>
      <c r="T52" s="360">
        <f t="shared" si="4"/>
        <v>5349.0765394206792</v>
      </c>
      <c r="U52" s="360">
        <f t="shared" si="5"/>
        <v>5325.3441396508733</v>
      </c>
      <c r="V52" s="360">
        <f t="shared" si="6"/>
        <v>5300.5798964128144</v>
      </c>
      <c r="W52" s="360">
        <f t="shared" si="7"/>
        <v>5278.9111835795129</v>
      </c>
      <c r="X52" s="360">
        <f t="shared" si="8"/>
        <v>5258.2743142144645</v>
      </c>
      <c r="Y52" s="360">
        <f t="shared" si="9"/>
        <v>5237.6374448494162</v>
      </c>
      <c r="Z52" s="360">
        <f t="shared" si="10"/>
        <v>5220.0961058891244</v>
      </c>
      <c r="AA52" s="443">
        <v>0.99572556581295335</v>
      </c>
    </row>
    <row r="53" spans="1:27" x14ac:dyDescent="0.2">
      <c r="A53" s="154" t="s">
        <v>82</v>
      </c>
      <c r="B53" s="354">
        <v>1925</v>
      </c>
      <c r="C53" s="354">
        <v>1837</v>
      </c>
      <c r="D53" s="354">
        <v>1852</v>
      </c>
      <c r="E53" s="354">
        <v>1814</v>
      </c>
      <c r="F53" s="331">
        <v>1787.1332967635767</v>
      </c>
      <c r="G53" s="336">
        <v>1761.2616566099839</v>
      </c>
      <c r="H53" s="337">
        <v>1736.3850795392214</v>
      </c>
      <c r="I53" s="337">
        <v>1716.4838178826114</v>
      </c>
      <c r="J53" s="337">
        <v>1695.5874931431711</v>
      </c>
      <c r="K53" s="337">
        <v>1675.6862314865612</v>
      </c>
      <c r="L53" s="337">
        <v>1655.784969829951</v>
      </c>
      <c r="M53" s="360">
        <f t="shared" si="1"/>
        <v>1634.3400791074514</v>
      </c>
      <c r="N53" s="360">
        <f t="shared" si="1"/>
        <v>1613.172931779462</v>
      </c>
      <c r="O53" s="360">
        <f t="shared" si="2"/>
        <v>1592.2799306538038</v>
      </c>
      <c r="Q53" s="266">
        <v>151</v>
      </c>
      <c r="R53" s="266" t="s">
        <v>82</v>
      </c>
      <c r="S53" s="360">
        <f t="shared" si="3"/>
        <v>1814</v>
      </c>
      <c r="T53" s="360">
        <f t="shared" si="4"/>
        <v>1787.1332967635767</v>
      </c>
      <c r="U53" s="360">
        <f t="shared" si="5"/>
        <v>1761.2616566099839</v>
      </c>
      <c r="V53" s="360">
        <f t="shared" si="6"/>
        <v>1736.3850795392214</v>
      </c>
      <c r="W53" s="360">
        <f t="shared" si="7"/>
        <v>1716.4838178826114</v>
      </c>
      <c r="X53" s="360">
        <f t="shared" si="8"/>
        <v>1695.5874931431711</v>
      </c>
      <c r="Y53" s="360">
        <f t="shared" si="9"/>
        <v>1675.6862314865612</v>
      </c>
      <c r="Z53" s="360">
        <f t="shared" si="10"/>
        <v>1655.784969829951</v>
      </c>
      <c r="AA53" s="443">
        <v>0.98704850502133612</v>
      </c>
    </row>
    <row r="54" spans="1:27" x14ac:dyDescent="0.2">
      <c r="A54" s="154" t="s">
        <v>83</v>
      </c>
      <c r="B54" s="354">
        <v>4471</v>
      </c>
      <c r="C54" s="354">
        <v>4430</v>
      </c>
      <c r="D54" s="354">
        <v>4406</v>
      </c>
      <c r="E54" s="354">
        <v>4357</v>
      </c>
      <c r="F54" s="331">
        <v>4308.5327925840093</v>
      </c>
      <c r="G54" s="336">
        <v>4261.0753186558522</v>
      </c>
      <c r="H54" s="337">
        <v>4214.627578215528</v>
      </c>
      <c r="I54" s="337">
        <v>4167.1701042873701</v>
      </c>
      <c r="J54" s="337">
        <v>4125.7710312862118</v>
      </c>
      <c r="K54" s="337">
        <v>4085.3816917728859</v>
      </c>
      <c r="L54" s="337">
        <v>4046.0020857473933</v>
      </c>
      <c r="M54" s="360">
        <f t="shared" si="1"/>
        <v>4003.4250470468469</v>
      </c>
      <c r="N54" s="360">
        <f t="shared" si="1"/>
        <v>3961.2960566137231</v>
      </c>
      <c r="O54" s="360">
        <f t="shared" si="2"/>
        <v>3919.6103995299331</v>
      </c>
      <c r="Q54" s="266">
        <v>152</v>
      </c>
      <c r="R54" s="266" t="s">
        <v>83</v>
      </c>
      <c r="S54" s="360">
        <f t="shared" si="3"/>
        <v>4357</v>
      </c>
      <c r="T54" s="360">
        <f t="shared" si="4"/>
        <v>4308.5327925840093</v>
      </c>
      <c r="U54" s="360">
        <f t="shared" si="5"/>
        <v>4261.0753186558522</v>
      </c>
      <c r="V54" s="360">
        <f t="shared" si="6"/>
        <v>4214.627578215528</v>
      </c>
      <c r="W54" s="360">
        <f t="shared" si="7"/>
        <v>4167.1701042873701</v>
      </c>
      <c r="X54" s="360">
        <f t="shared" si="8"/>
        <v>4125.7710312862118</v>
      </c>
      <c r="Y54" s="360">
        <f t="shared" si="9"/>
        <v>4085.3816917728859</v>
      </c>
      <c r="Z54" s="360">
        <f t="shared" si="10"/>
        <v>4046.0020857473933</v>
      </c>
      <c r="AA54" s="443">
        <v>0.98947676303713983</v>
      </c>
    </row>
    <row r="55" spans="1:27" x14ac:dyDescent="0.2">
      <c r="A55" s="154" t="s">
        <v>84</v>
      </c>
      <c r="B55" s="354">
        <v>16237</v>
      </c>
      <c r="C55" s="354">
        <v>16184</v>
      </c>
      <c r="D55" s="354">
        <v>16280</v>
      </c>
      <c r="E55" s="354">
        <v>16123</v>
      </c>
      <c r="F55" s="331">
        <v>16014.390015109544</v>
      </c>
      <c r="G55" s="336">
        <v>15907.810123394609</v>
      </c>
      <c r="H55" s="337">
        <v>15802.245278267437</v>
      </c>
      <c r="I55" s="337">
        <v>15699.72557290355</v>
      </c>
      <c r="J55" s="337">
        <v>15596.190820951899</v>
      </c>
      <c r="K55" s="337">
        <v>15498.746348526816</v>
      </c>
      <c r="L55" s="337">
        <v>15409.422248803825</v>
      </c>
      <c r="M55" s="360">
        <f t="shared" si="1"/>
        <v>15310.094731390331</v>
      </c>
      <c r="N55" s="360">
        <f t="shared" si="1"/>
        <v>15211.407468722033</v>
      </c>
      <c r="O55" s="360">
        <f t="shared" si="2"/>
        <v>15113.356333784086</v>
      </c>
      <c r="Q55" s="266">
        <v>165</v>
      </c>
      <c r="R55" s="266" t="s">
        <v>84</v>
      </c>
      <c r="S55" s="360">
        <f t="shared" si="3"/>
        <v>16123</v>
      </c>
      <c r="T55" s="360">
        <f t="shared" si="4"/>
        <v>16014.390015109544</v>
      </c>
      <c r="U55" s="360">
        <f t="shared" si="5"/>
        <v>15907.810123394609</v>
      </c>
      <c r="V55" s="360">
        <f t="shared" si="6"/>
        <v>15802.245278267437</v>
      </c>
      <c r="W55" s="360">
        <f t="shared" si="7"/>
        <v>15699.72557290355</v>
      </c>
      <c r="X55" s="360">
        <f t="shared" si="8"/>
        <v>15596.190820951899</v>
      </c>
      <c r="Y55" s="360">
        <f t="shared" si="9"/>
        <v>15498.746348526816</v>
      </c>
      <c r="Z55" s="360">
        <f t="shared" si="10"/>
        <v>15409.422248803825</v>
      </c>
      <c r="AA55" s="443">
        <v>0.99355410502679908</v>
      </c>
    </row>
    <row r="56" spans="1:27" x14ac:dyDescent="0.2">
      <c r="A56" s="154" t="s">
        <v>85</v>
      </c>
      <c r="B56" s="354">
        <v>76935</v>
      </c>
      <c r="C56" s="354">
        <v>77406</v>
      </c>
      <c r="D56" s="354">
        <v>77513</v>
      </c>
      <c r="E56" s="354">
        <v>78062</v>
      </c>
      <c r="F56" s="331">
        <v>78231.859502748921</v>
      </c>
      <c r="G56" s="336">
        <v>78389.657975716837</v>
      </c>
      <c r="H56" s="337">
        <v>78539.415762164106</v>
      </c>
      <c r="I56" s="337">
        <v>78680.127776275636</v>
      </c>
      <c r="J56" s="337">
        <v>78809.783846421255</v>
      </c>
      <c r="K56" s="337">
        <v>78927.378886785882</v>
      </c>
      <c r="L56" s="337">
        <v>79021.856953403621</v>
      </c>
      <c r="M56" s="360">
        <f t="shared" si="1"/>
        <v>79159.94321299989</v>
      </c>
      <c r="N56" s="360">
        <f t="shared" si="1"/>
        <v>79298.270770584146</v>
      </c>
      <c r="O56" s="360">
        <f t="shared" si="2"/>
        <v>79436.840047811071</v>
      </c>
      <c r="Q56" s="266">
        <v>167</v>
      </c>
      <c r="R56" s="266" t="s">
        <v>85</v>
      </c>
      <c r="S56" s="360">
        <f t="shared" si="3"/>
        <v>78062</v>
      </c>
      <c r="T56" s="360">
        <f t="shared" si="4"/>
        <v>78231.859502748921</v>
      </c>
      <c r="U56" s="360">
        <f t="shared" si="5"/>
        <v>78389.657975716837</v>
      </c>
      <c r="V56" s="360">
        <f t="shared" si="6"/>
        <v>78539.415762164106</v>
      </c>
      <c r="W56" s="360">
        <f t="shared" si="7"/>
        <v>78680.127776275636</v>
      </c>
      <c r="X56" s="360">
        <f t="shared" si="8"/>
        <v>78809.783846421255</v>
      </c>
      <c r="Y56" s="360">
        <f t="shared" si="9"/>
        <v>78927.378886785882</v>
      </c>
      <c r="Z56" s="360">
        <f t="shared" si="10"/>
        <v>79021.856953403621</v>
      </c>
      <c r="AA56" s="443">
        <v>1.0017474438708482</v>
      </c>
    </row>
    <row r="57" spans="1:27" x14ac:dyDescent="0.2">
      <c r="A57" s="154" t="s">
        <v>86</v>
      </c>
      <c r="B57" s="354">
        <v>5061</v>
      </c>
      <c r="C57" s="354">
        <v>4969</v>
      </c>
      <c r="D57" s="354">
        <v>4990</v>
      </c>
      <c r="E57" s="354">
        <v>4916</v>
      </c>
      <c r="F57" s="331">
        <v>4858.5324036095162</v>
      </c>
      <c r="G57" s="336">
        <v>4803.0812141099259</v>
      </c>
      <c r="H57" s="337">
        <v>4751.6628383921243</v>
      </c>
      <c r="I57" s="337">
        <v>4701.2526661197699</v>
      </c>
      <c r="J57" s="337">
        <v>4655.8835110746504</v>
      </c>
      <c r="K57" s="337">
        <v>4608.4979491386375</v>
      </c>
      <c r="L57" s="337">
        <v>4563.1287940935181</v>
      </c>
      <c r="M57" s="360">
        <f t="shared" si="1"/>
        <v>4514.8313428365491</v>
      </c>
      <c r="N57" s="360">
        <f t="shared" si="1"/>
        <v>4467.0450855219779</v>
      </c>
      <c r="O57" s="360">
        <f t="shared" si="2"/>
        <v>4419.7646115279185</v>
      </c>
      <c r="Q57" s="266">
        <v>169</v>
      </c>
      <c r="R57" s="266" t="s">
        <v>86</v>
      </c>
      <c r="S57" s="360">
        <f t="shared" si="3"/>
        <v>4916</v>
      </c>
      <c r="T57" s="360">
        <f t="shared" si="4"/>
        <v>4858.5324036095162</v>
      </c>
      <c r="U57" s="360">
        <f t="shared" si="5"/>
        <v>4803.0812141099259</v>
      </c>
      <c r="V57" s="360">
        <f t="shared" si="6"/>
        <v>4751.6628383921243</v>
      </c>
      <c r="W57" s="360">
        <f t="shared" si="7"/>
        <v>4701.2526661197699</v>
      </c>
      <c r="X57" s="360">
        <f t="shared" si="8"/>
        <v>4655.8835110746504</v>
      </c>
      <c r="Y57" s="360">
        <f t="shared" si="9"/>
        <v>4608.4979491386375</v>
      </c>
      <c r="Z57" s="360">
        <f t="shared" si="10"/>
        <v>4563.1287940935181</v>
      </c>
      <c r="AA57" s="443">
        <v>0.9894157159623711</v>
      </c>
    </row>
    <row r="58" spans="1:27" x14ac:dyDescent="0.2">
      <c r="A58" s="154" t="s">
        <v>87</v>
      </c>
      <c r="B58" s="354">
        <v>4689</v>
      </c>
      <c r="C58" s="354">
        <v>4597</v>
      </c>
      <c r="D58" s="354">
        <v>4540</v>
      </c>
      <c r="E58" s="354">
        <v>4590</v>
      </c>
      <c r="F58" s="331">
        <v>4516.1167002012071</v>
      </c>
      <c r="G58" s="336">
        <v>4443.259557344064</v>
      </c>
      <c r="H58" s="337">
        <v>4372.4547283702204</v>
      </c>
      <c r="I58" s="337">
        <v>4304.7283702213272</v>
      </c>
      <c r="J58" s="337">
        <v>4234.9496981891343</v>
      </c>
      <c r="K58" s="337">
        <v>4168.2494969818908</v>
      </c>
      <c r="L58" s="337">
        <v>4103.6016096579469</v>
      </c>
      <c r="M58" s="360">
        <f t="shared" si="1"/>
        <v>4038.4579615500284</v>
      </c>
      <c r="N58" s="360">
        <f t="shared" si="1"/>
        <v>3974.3484525453841</v>
      </c>
      <c r="O58" s="360">
        <f t="shared" si="2"/>
        <v>3911.2566659446743</v>
      </c>
      <c r="Q58" s="266">
        <v>171</v>
      </c>
      <c r="R58" s="266" t="s">
        <v>87</v>
      </c>
      <c r="S58" s="360">
        <f t="shared" si="3"/>
        <v>4590</v>
      </c>
      <c r="T58" s="360">
        <f t="shared" si="4"/>
        <v>4516.1167002012071</v>
      </c>
      <c r="U58" s="360">
        <f t="shared" si="5"/>
        <v>4443.259557344064</v>
      </c>
      <c r="V58" s="360">
        <f t="shared" si="6"/>
        <v>4372.4547283702204</v>
      </c>
      <c r="W58" s="360">
        <f t="shared" si="7"/>
        <v>4304.7283702213272</v>
      </c>
      <c r="X58" s="360">
        <f t="shared" si="8"/>
        <v>4234.9496981891343</v>
      </c>
      <c r="Y58" s="360">
        <f t="shared" si="9"/>
        <v>4168.2494969818908</v>
      </c>
      <c r="Z58" s="360">
        <f t="shared" si="10"/>
        <v>4103.6016096579469</v>
      </c>
      <c r="AA58" s="443">
        <v>0.98412525037649823</v>
      </c>
    </row>
    <row r="59" spans="1:27" x14ac:dyDescent="0.2">
      <c r="A59" s="154" t="s">
        <v>88</v>
      </c>
      <c r="B59" s="354">
        <v>4297</v>
      </c>
      <c r="C59" s="354">
        <v>4244</v>
      </c>
      <c r="D59" s="354">
        <v>4171</v>
      </c>
      <c r="E59" s="354">
        <v>4079</v>
      </c>
      <c r="F59" s="331">
        <v>4017.1062163485071</v>
      </c>
      <c r="G59" s="336">
        <v>3961.2021536955458</v>
      </c>
      <c r="H59" s="337">
        <v>3903.301517376407</v>
      </c>
      <c r="I59" s="337">
        <v>3852.3888888888887</v>
      </c>
      <c r="J59" s="337">
        <v>3804.4711209006364</v>
      </c>
      <c r="K59" s="337">
        <v>3757.5516397454726</v>
      </c>
      <c r="L59" s="337">
        <v>3713.6270190895743</v>
      </c>
      <c r="M59" s="360">
        <f t="shared" si="1"/>
        <v>3664.1766018915132</v>
      </c>
      <c r="N59" s="360">
        <f t="shared" si="1"/>
        <v>3615.3846632505315</v>
      </c>
      <c r="O59" s="360">
        <f t="shared" si="2"/>
        <v>3567.2424349087523</v>
      </c>
      <c r="Q59" s="266">
        <v>172</v>
      </c>
      <c r="R59" s="266" t="s">
        <v>88</v>
      </c>
      <c r="S59" s="360">
        <f t="shared" si="3"/>
        <v>4079</v>
      </c>
      <c r="T59" s="360">
        <f t="shared" si="4"/>
        <v>4017.1062163485071</v>
      </c>
      <c r="U59" s="360">
        <f t="shared" si="5"/>
        <v>3961.2021536955458</v>
      </c>
      <c r="V59" s="360">
        <f t="shared" si="6"/>
        <v>3903.301517376407</v>
      </c>
      <c r="W59" s="360">
        <f t="shared" si="7"/>
        <v>3852.3888888888887</v>
      </c>
      <c r="X59" s="360">
        <f t="shared" si="8"/>
        <v>3804.4711209006364</v>
      </c>
      <c r="Y59" s="360">
        <f t="shared" si="9"/>
        <v>3757.5516397454726</v>
      </c>
      <c r="Z59" s="360">
        <f t="shared" si="10"/>
        <v>3713.6270190895743</v>
      </c>
      <c r="AA59" s="443">
        <v>0.98668406467750647</v>
      </c>
    </row>
    <row r="60" spans="1:27" x14ac:dyDescent="0.2">
      <c r="A60" s="154" t="s">
        <v>89</v>
      </c>
      <c r="B60" s="354">
        <v>4527</v>
      </c>
      <c r="C60" s="354">
        <v>4420</v>
      </c>
      <c r="D60" s="354">
        <v>4352</v>
      </c>
      <c r="E60" s="354">
        <v>4259</v>
      </c>
      <c r="F60" s="331">
        <v>4172.9191539365456</v>
      </c>
      <c r="G60" s="336">
        <v>4089.8411280846067</v>
      </c>
      <c r="H60" s="337">
        <v>4008.7649823736783</v>
      </c>
      <c r="I60" s="337">
        <v>3937.6982373678029</v>
      </c>
      <c r="J60" s="337">
        <v>3868.6333725029381</v>
      </c>
      <c r="K60" s="337">
        <v>3804.5732079905997</v>
      </c>
      <c r="L60" s="337">
        <v>3746.5186839012931</v>
      </c>
      <c r="M60" s="360">
        <f t="shared" si="1"/>
        <v>3678.5303954375763</v>
      </c>
      <c r="N60" s="360">
        <f t="shared" si="1"/>
        <v>3611.7758943263925</v>
      </c>
      <c r="O60" s="360">
        <f t="shared" si="2"/>
        <v>3546.2327909582123</v>
      </c>
      <c r="Q60" s="266">
        <v>176</v>
      </c>
      <c r="R60" s="266" t="s">
        <v>89</v>
      </c>
      <c r="S60" s="360">
        <f t="shared" si="3"/>
        <v>4259</v>
      </c>
      <c r="T60" s="360">
        <f t="shared" si="4"/>
        <v>4172.9191539365456</v>
      </c>
      <c r="U60" s="360">
        <f t="shared" si="5"/>
        <v>4089.8411280846067</v>
      </c>
      <c r="V60" s="360">
        <f t="shared" si="6"/>
        <v>4008.7649823736783</v>
      </c>
      <c r="W60" s="360">
        <f t="shared" si="7"/>
        <v>3937.6982373678029</v>
      </c>
      <c r="X60" s="360">
        <f t="shared" si="8"/>
        <v>3868.6333725029381</v>
      </c>
      <c r="Y60" s="360">
        <f t="shared" si="9"/>
        <v>3804.5732079905997</v>
      </c>
      <c r="Z60" s="360">
        <f t="shared" si="10"/>
        <v>3746.5186839012931</v>
      </c>
      <c r="AA60" s="443">
        <v>0.98185294290513991</v>
      </c>
    </row>
    <row r="61" spans="1:27" x14ac:dyDescent="0.2">
      <c r="A61" s="154" t="s">
        <v>90</v>
      </c>
      <c r="B61" s="354">
        <v>1800</v>
      </c>
      <c r="C61" s="354">
        <v>1799</v>
      </c>
      <c r="D61" s="354">
        <v>1768</v>
      </c>
      <c r="E61" s="354">
        <v>1708</v>
      </c>
      <c r="F61" s="331">
        <v>1678.9148561362301</v>
      </c>
      <c r="G61" s="336">
        <v>1651.8355842630651</v>
      </c>
      <c r="H61" s="337">
        <v>1626.762184380505</v>
      </c>
      <c r="I61" s="337">
        <v>1604.6975924838521</v>
      </c>
      <c r="J61" s="337">
        <v>1582.6330005871991</v>
      </c>
      <c r="K61" s="337">
        <v>1561.5713446858488</v>
      </c>
      <c r="L61" s="337">
        <v>1542.515560775103</v>
      </c>
      <c r="M61" s="360">
        <f t="shared" si="1"/>
        <v>1520.2237077294737</v>
      </c>
      <c r="N61" s="360">
        <f t="shared" si="1"/>
        <v>1498.2540081355467</v>
      </c>
      <c r="O61" s="360">
        <f t="shared" si="2"/>
        <v>1476.6018063531542</v>
      </c>
      <c r="Q61" s="266">
        <v>177</v>
      </c>
      <c r="R61" s="266" t="s">
        <v>90</v>
      </c>
      <c r="S61" s="360">
        <f t="shared" si="3"/>
        <v>1708</v>
      </c>
      <c r="T61" s="360">
        <f t="shared" si="4"/>
        <v>1678.9148561362301</v>
      </c>
      <c r="U61" s="360">
        <f t="shared" si="5"/>
        <v>1651.8355842630651</v>
      </c>
      <c r="V61" s="360">
        <f t="shared" si="6"/>
        <v>1626.762184380505</v>
      </c>
      <c r="W61" s="360">
        <f t="shared" si="7"/>
        <v>1604.6975924838521</v>
      </c>
      <c r="X61" s="360">
        <f t="shared" si="8"/>
        <v>1582.6330005871991</v>
      </c>
      <c r="Y61" s="360">
        <f t="shared" si="9"/>
        <v>1561.5713446858488</v>
      </c>
      <c r="Z61" s="360">
        <f t="shared" si="10"/>
        <v>1542.515560775103</v>
      </c>
      <c r="AA61" s="443">
        <v>0.98554837720118182</v>
      </c>
    </row>
    <row r="62" spans="1:27" x14ac:dyDescent="0.2">
      <c r="A62" s="154" t="s">
        <v>91</v>
      </c>
      <c r="B62" s="354">
        <v>5932</v>
      </c>
      <c r="C62" s="354">
        <v>5943</v>
      </c>
      <c r="D62" s="354">
        <v>5769</v>
      </c>
      <c r="E62" s="354">
        <v>5734</v>
      </c>
      <c r="F62" s="331">
        <v>5640.0334877092982</v>
      </c>
      <c r="G62" s="336">
        <v>5549.1311008193807</v>
      </c>
      <c r="H62" s="337">
        <v>5461.2928393302464</v>
      </c>
      <c r="I62" s="337">
        <v>5381.6255789098686</v>
      </c>
      <c r="J62" s="337">
        <v>5304.0010687566801</v>
      </c>
      <c r="K62" s="337">
        <v>5229.4406840042757</v>
      </c>
      <c r="L62" s="337">
        <v>5155.9016743854654</v>
      </c>
      <c r="M62" s="360">
        <f t="shared" si="1"/>
        <v>5078.2201811040368</v>
      </c>
      <c r="N62" s="360">
        <f t="shared" si="1"/>
        <v>5001.7090775583965</v>
      </c>
      <c r="O62" s="360">
        <f t="shared" si="2"/>
        <v>4926.3507300487299</v>
      </c>
      <c r="Q62" s="266">
        <v>178</v>
      </c>
      <c r="R62" s="266" t="s">
        <v>91</v>
      </c>
      <c r="S62" s="360">
        <f t="shared" si="3"/>
        <v>5734</v>
      </c>
      <c r="T62" s="360">
        <f t="shared" si="4"/>
        <v>5640.0334877092982</v>
      </c>
      <c r="U62" s="360">
        <f t="shared" si="5"/>
        <v>5549.1311008193807</v>
      </c>
      <c r="V62" s="360">
        <f t="shared" si="6"/>
        <v>5461.2928393302464</v>
      </c>
      <c r="W62" s="360">
        <f t="shared" si="7"/>
        <v>5381.6255789098686</v>
      </c>
      <c r="X62" s="360">
        <f t="shared" si="8"/>
        <v>5304.0010687566801</v>
      </c>
      <c r="Y62" s="360">
        <f t="shared" si="9"/>
        <v>5229.4406840042757</v>
      </c>
      <c r="Z62" s="360">
        <f t="shared" si="10"/>
        <v>5155.9016743854654</v>
      </c>
      <c r="AA62" s="443">
        <v>0.98493348046814966</v>
      </c>
    </row>
    <row r="63" spans="1:27" x14ac:dyDescent="0.2">
      <c r="A63" s="154" t="s">
        <v>92</v>
      </c>
      <c r="B63" s="354">
        <v>143420</v>
      </c>
      <c r="C63" s="354">
        <v>144392</v>
      </c>
      <c r="D63" s="354">
        <v>145887</v>
      </c>
      <c r="E63" s="354">
        <v>147746</v>
      </c>
      <c r="F63" s="331">
        <v>148640.45965680157</v>
      </c>
      <c r="G63" s="336">
        <v>149482.54104541204</v>
      </c>
      <c r="H63" s="337">
        <v>150260.15687317197</v>
      </c>
      <c r="I63" s="337">
        <v>150986.40170712912</v>
      </c>
      <c r="J63" s="337">
        <v>151662.28282167178</v>
      </c>
      <c r="K63" s="337">
        <v>152290.82203996478</v>
      </c>
      <c r="L63" s="337">
        <v>152863.96116690183</v>
      </c>
      <c r="M63" s="360">
        <f t="shared" si="1"/>
        <v>153609.4739726409</v>
      </c>
      <c r="N63" s="360">
        <f t="shared" si="1"/>
        <v>154358.6226212515</v>
      </c>
      <c r="O63" s="360">
        <f t="shared" si="2"/>
        <v>155111.42484462672</v>
      </c>
      <c r="Q63" s="266">
        <v>179</v>
      </c>
      <c r="R63" s="266" t="s">
        <v>92</v>
      </c>
      <c r="S63" s="360">
        <f t="shared" si="3"/>
        <v>147746</v>
      </c>
      <c r="T63" s="360">
        <f t="shared" si="4"/>
        <v>148640.45965680157</v>
      </c>
      <c r="U63" s="360">
        <f t="shared" si="5"/>
        <v>149482.54104541204</v>
      </c>
      <c r="V63" s="360">
        <f t="shared" si="6"/>
        <v>150260.15687317197</v>
      </c>
      <c r="W63" s="360">
        <f t="shared" si="7"/>
        <v>150986.40170712912</v>
      </c>
      <c r="X63" s="360">
        <f t="shared" si="8"/>
        <v>151662.28282167178</v>
      </c>
      <c r="Y63" s="360">
        <f t="shared" si="9"/>
        <v>152290.82203996478</v>
      </c>
      <c r="Z63" s="360">
        <f t="shared" si="10"/>
        <v>152863.96116690183</v>
      </c>
      <c r="AA63" s="443">
        <v>1.0048769690386676</v>
      </c>
    </row>
    <row r="64" spans="1:27" x14ac:dyDescent="0.2">
      <c r="A64" s="154" t="s">
        <v>93</v>
      </c>
      <c r="B64" s="354">
        <v>1707</v>
      </c>
      <c r="C64" s="354">
        <v>1720</v>
      </c>
      <c r="D64" s="354">
        <v>1683</v>
      </c>
      <c r="E64" s="354">
        <v>1682</v>
      </c>
      <c r="F64" s="331">
        <v>1647.243581715717</v>
      </c>
      <c r="G64" s="336">
        <v>1616.7000626174079</v>
      </c>
      <c r="H64" s="337">
        <v>1587.2097683155919</v>
      </c>
      <c r="I64" s="337">
        <v>1556.6662492172825</v>
      </c>
      <c r="J64" s="337">
        <v>1530.3356293049469</v>
      </c>
      <c r="K64" s="337">
        <v>1501.8985597996245</v>
      </c>
      <c r="L64" s="337">
        <v>1477.6743894802757</v>
      </c>
      <c r="M64" s="360">
        <f t="shared" si="1"/>
        <v>1450.5872369075564</v>
      </c>
      <c r="N64" s="360">
        <f t="shared" si="1"/>
        <v>1423.9966171567642</v>
      </c>
      <c r="O64" s="360">
        <f t="shared" si="2"/>
        <v>1397.8934283172202</v>
      </c>
      <c r="Q64" s="266">
        <v>181</v>
      </c>
      <c r="R64" s="266" t="s">
        <v>93</v>
      </c>
      <c r="S64" s="360">
        <f t="shared" si="3"/>
        <v>1682</v>
      </c>
      <c r="T64" s="360">
        <f t="shared" si="4"/>
        <v>1647.243581715717</v>
      </c>
      <c r="U64" s="360">
        <f t="shared" si="5"/>
        <v>1616.7000626174079</v>
      </c>
      <c r="V64" s="360">
        <f t="shared" si="6"/>
        <v>1587.2097683155919</v>
      </c>
      <c r="W64" s="360">
        <f t="shared" si="7"/>
        <v>1556.6662492172825</v>
      </c>
      <c r="X64" s="360">
        <f t="shared" si="8"/>
        <v>1530.3356293049469</v>
      </c>
      <c r="Y64" s="360">
        <f t="shared" si="9"/>
        <v>1501.8985597996245</v>
      </c>
      <c r="Z64" s="360">
        <f t="shared" si="10"/>
        <v>1477.6743894802757</v>
      </c>
      <c r="AA64" s="443">
        <v>0.98166906541416998</v>
      </c>
    </row>
    <row r="65" spans="1:29" x14ac:dyDescent="0.2">
      <c r="A65" s="154" t="s">
        <v>94</v>
      </c>
      <c r="B65" s="354">
        <v>19887</v>
      </c>
      <c r="C65" s="354">
        <v>19640</v>
      </c>
      <c r="D65" s="354">
        <v>19347</v>
      </c>
      <c r="E65" s="354">
        <v>19182</v>
      </c>
      <c r="F65" s="331">
        <v>18896.912889406041</v>
      </c>
      <c r="G65" s="336">
        <v>18629.073041730579</v>
      </c>
      <c r="H65" s="337">
        <v>18367.320463320466</v>
      </c>
      <c r="I65" s="337">
        <v>18118.756968318616</v>
      </c>
      <c r="J65" s="337">
        <v>17875.266197704557</v>
      </c>
      <c r="K65" s="337">
        <v>17635.833606600732</v>
      </c>
      <c r="L65" s="337">
        <v>17405.531919394936</v>
      </c>
      <c r="M65" s="360">
        <f t="shared" si="1"/>
        <v>17165.555379426802</v>
      </c>
      <c r="N65" s="360">
        <f t="shared" si="1"/>
        <v>16928.887485238742</v>
      </c>
      <c r="O65" s="360">
        <f t="shared" si="2"/>
        <v>16695.48261930123</v>
      </c>
      <c r="Q65" s="266">
        <v>182</v>
      </c>
      <c r="R65" s="266" t="s">
        <v>94</v>
      </c>
      <c r="S65" s="360">
        <f t="shared" si="3"/>
        <v>19182</v>
      </c>
      <c r="T65" s="360">
        <f t="shared" si="4"/>
        <v>18896.912889406041</v>
      </c>
      <c r="U65" s="360">
        <f t="shared" si="5"/>
        <v>18629.073041730579</v>
      </c>
      <c r="V65" s="360">
        <f t="shared" si="6"/>
        <v>18367.320463320466</v>
      </c>
      <c r="W65" s="360">
        <f t="shared" si="7"/>
        <v>18118.756968318616</v>
      </c>
      <c r="X65" s="360">
        <f t="shared" si="8"/>
        <v>17875.266197704557</v>
      </c>
      <c r="Y65" s="360">
        <f t="shared" si="9"/>
        <v>17635.833606600732</v>
      </c>
      <c r="Z65" s="360">
        <f t="shared" si="10"/>
        <v>17405.531919394936</v>
      </c>
      <c r="AA65" s="443">
        <v>0.98621262819892741</v>
      </c>
    </row>
    <row r="66" spans="1:29" x14ac:dyDescent="0.2">
      <c r="A66" s="154" t="s">
        <v>95</v>
      </c>
      <c r="B66" s="354">
        <v>44455</v>
      </c>
      <c r="C66" s="354">
        <v>44909</v>
      </c>
      <c r="D66" s="354">
        <v>45630</v>
      </c>
      <c r="E66" s="354">
        <v>46490</v>
      </c>
      <c r="F66" s="331">
        <v>47118.445767337907</v>
      </c>
      <c r="G66" s="336">
        <v>47722.912681868002</v>
      </c>
      <c r="H66" s="337">
        <v>48297.406030388338</v>
      </c>
      <c r="I66" s="337">
        <v>48848.919644967864</v>
      </c>
      <c r="J66" s="337">
        <v>49370.459693537639</v>
      </c>
      <c r="K66" s="337">
        <v>49865.023532698629</v>
      </c>
      <c r="L66" s="337">
        <v>50332.611162450841</v>
      </c>
      <c r="M66" s="360">
        <f t="shared" si="1"/>
        <v>50906.940910044774</v>
      </c>
      <c r="N66" s="360">
        <f t="shared" si="1"/>
        <v>51487.824155487382</v>
      </c>
      <c r="O66" s="360">
        <f t="shared" si="2"/>
        <v>52075.335678701231</v>
      </c>
      <c r="Q66" s="266">
        <v>186</v>
      </c>
      <c r="R66" s="266" t="s">
        <v>95</v>
      </c>
      <c r="S66" s="360">
        <f t="shared" si="3"/>
        <v>46490</v>
      </c>
      <c r="T66" s="360">
        <f t="shared" si="4"/>
        <v>47118.445767337907</v>
      </c>
      <c r="U66" s="360">
        <f t="shared" si="5"/>
        <v>47722.912681868002</v>
      </c>
      <c r="V66" s="360">
        <f t="shared" si="6"/>
        <v>48297.406030388338</v>
      </c>
      <c r="W66" s="360">
        <f t="shared" si="7"/>
        <v>48848.919644967864</v>
      </c>
      <c r="X66" s="360">
        <f t="shared" si="8"/>
        <v>49370.459693537639</v>
      </c>
      <c r="Y66" s="360">
        <f t="shared" si="9"/>
        <v>49865.023532698629</v>
      </c>
      <c r="Z66" s="360">
        <f t="shared" si="10"/>
        <v>50332.611162450841</v>
      </c>
      <c r="AA66" s="443">
        <v>1.0114106885045215</v>
      </c>
    </row>
    <row r="67" spans="1:29" x14ac:dyDescent="0.2">
      <c r="A67" s="154" t="s">
        <v>96</v>
      </c>
      <c r="B67" s="354">
        <v>34667</v>
      </c>
      <c r="C67" s="354">
        <v>34269</v>
      </c>
      <c r="D67" s="354">
        <v>35848</v>
      </c>
      <c r="E67" s="354">
        <v>36339</v>
      </c>
      <c r="F67" s="331">
        <v>36772.73328717806</v>
      </c>
      <c r="G67" s="336">
        <v>37182.314372749926</v>
      </c>
      <c r="H67" s="337">
        <v>37571.76862364995</v>
      </c>
      <c r="I67" s="337">
        <v>37940.089698144548</v>
      </c>
      <c r="J67" s="337">
        <v>38287.277596233718</v>
      </c>
      <c r="K67" s="337">
        <v>38608.300609249498</v>
      </c>
      <c r="L67" s="337">
        <v>38914.228496261407</v>
      </c>
      <c r="M67" s="360">
        <f t="shared" si="1"/>
        <v>39296.759065281003</v>
      </c>
      <c r="N67" s="360">
        <f t="shared" si="1"/>
        <v>39683.049946193933</v>
      </c>
      <c r="O67" s="360">
        <f t="shared" si="2"/>
        <v>40073.138103223922</v>
      </c>
      <c r="Q67" s="266">
        <v>202</v>
      </c>
      <c r="R67" s="266" t="s">
        <v>96</v>
      </c>
      <c r="S67" s="360">
        <f t="shared" si="3"/>
        <v>36339</v>
      </c>
      <c r="T67" s="360">
        <f t="shared" si="4"/>
        <v>36772.73328717806</v>
      </c>
      <c r="U67" s="360">
        <f t="shared" si="5"/>
        <v>37182.314372749926</v>
      </c>
      <c r="V67" s="360">
        <f t="shared" si="6"/>
        <v>37571.76862364995</v>
      </c>
      <c r="W67" s="360">
        <f t="shared" si="7"/>
        <v>37940.089698144548</v>
      </c>
      <c r="X67" s="360">
        <f t="shared" si="8"/>
        <v>38287.277596233718</v>
      </c>
      <c r="Y67" s="360">
        <f t="shared" si="9"/>
        <v>38608.300609249498</v>
      </c>
      <c r="Z67" s="360">
        <f t="shared" si="10"/>
        <v>38914.228496261407</v>
      </c>
      <c r="AA67" s="443">
        <v>1.0098300951554608</v>
      </c>
    </row>
    <row r="68" spans="1:29" x14ac:dyDescent="0.2">
      <c r="A68" s="154" t="s">
        <v>97</v>
      </c>
      <c r="B68" s="354">
        <v>2807</v>
      </c>
      <c r="C68" s="354">
        <v>2817</v>
      </c>
      <c r="D68" s="354">
        <v>2689</v>
      </c>
      <c r="E68" s="354">
        <v>2628</v>
      </c>
      <c r="F68" s="331">
        <v>2578.887871853547</v>
      </c>
      <c r="G68" s="336">
        <v>2534.7871853546912</v>
      </c>
      <c r="H68" s="337">
        <v>2494.6956521739135</v>
      </c>
      <c r="I68" s="337">
        <v>2456.6086956521744</v>
      </c>
      <c r="J68" s="337">
        <v>2418.5217391304354</v>
      </c>
      <c r="K68" s="337">
        <v>2385.4462242562936</v>
      </c>
      <c r="L68" s="337">
        <v>2352.3707093821517</v>
      </c>
      <c r="M68" s="360">
        <f t="shared" si="1"/>
        <v>2315.4325299381208</v>
      </c>
      <c r="N68" s="360">
        <f t="shared" si="1"/>
        <v>2279.0743734875732</v>
      </c>
      <c r="O68" s="360">
        <f t="shared" si="2"/>
        <v>2243.2871322001283</v>
      </c>
      <c r="Q68" s="266">
        <v>204</v>
      </c>
      <c r="R68" s="266" t="s">
        <v>97</v>
      </c>
      <c r="S68" s="360">
        <f t="shared" si="3"/>
        <v>2628</v>
      </c>
      <c r="T68" s="360">
        <f t="shared" si="4"/>
        <v>2578.887871853547</v>
      </c>
      <c r="U68" s="360">
        <f t="shared" si="5"/>
        <v>2534.7871853546912</v>
      </c>
      <c r="V68" s="360">
        <f t="shared" si="6"/>
        <v>2494.6956521739135</v>
      </c>
      <c r="W68" s="360">
        <f t="shared" si="7"/>
        <v>2456.6086956521744</v>
      </c>
      <c r="X68" s="360">
        <f t="shared" si="8"/>
        <v>2418.5217391304354</v>
      </c>
      <c r="Y68" s="360">
        <f t="shared" si="9"/>
        <v>2385.4462242562936</v>
      </c>
      <c r="Z68" s="360">
        <f t="shared" si="10"/>
        <v>2352.3707093821517</v>
      </c>
      <c r="AA68" s="443">
        <v>0.9842974666804396</v>
      </c>
    </row>
    <row r="69" spans="1:29" x14ac:dyDescent="0.2">
      <c r="A69" s="154" t="s">
        <v>98</v>
      </c>
      <c r="B69" s="354">
        <v>36567</v>
      </c>
      <c r="C69" s="354">
        <v>36256</v>
      </c>
      <c r="D69" s="354">
        <v>36297</v>
      </c>
      <c r="E69" s="354">
        <v>36513</v>
      </c>
      <c r="F69" s="331">
        <v>36328.759627380852</v>
      </c>
      <c r="G69" s="336">
        <v>36141.482325542711</v>
      </c>
      <c r="H69" s="337">
        <v>35947.118855526911</v>
      </c>
      <c r="I69" s="337">
        <v>35755.792314730104</v>
      </c>
      <c r="J69" s="337">
        <v>35557.379605755639</v>
      </c>
      <c r="K69" s="337">
        <v>35357.95458704151</v>
      </c>
      <c r="L69" s="337">
        <v>35159.541878067044</v>
      </c>
      <c r="M69" s="360">
        <f t="shared" si="1"/>
        <v>34970.331104030214</v>
      </c>
      <c r="N69" s="360">
        <f t="shared" si="1"/>
        <v>34782.138566156296</v>
      </c>
      <c r="O69" s="360">
        <f t="shared" si="2"/>
        <v>34594.958784816081</v>
      </c>
      <c r="Q69" s="266">
        <v>205</v>
      </c>
      <c r="R69" s="266" t="s">
        <v>98</v>
      </c>
      <c r="S69" s="360">
        <f t="shared" si="3"/>
        <v>36513</v>
      </c>
      <c r="T69" s="360">
        <f t="shared" si="4"/>
        <v>36328.759627380852</v>
      </c>
      <c r="U69" s="360">
        <f t="shared" si="5"/>
        <v>36141.482325542711</v>
      </c>
      <c r="V69" s="360">
        <f t="shared" si="6"/>
        <v>35947.118855526911</v>
      </c>
      <c r="W69" s="360">
        <f t="shared" si="7"/>
        <v>35755.792314730104</v>
      </c>
      <c r="X69" s="360">
        <f t="shared" si="8"/>
        <v>35557.379605755639</v>
      </c>
      <c r="Y69" s="360">
        <f t="shared" si="9"/>
        <v>35357.95458704151</v>
      </c>
      <c r="Z69" s="360">
        <f t="shared" si="10"/>
        <v>35159.541878067044</v>
      </c>
      <c r="AA69" s="443">
        <v>0.99461850854903033</v>
      </c>
    </row>
    <row r="70" spans="1:29" s="274" customFormat="1" x14ac:dyDescent="0.2">
      <c r="A70" s="271" t="s">
        <v>99</v>
      </c>
      <c r="B70" s="335">
        <v>12400</v>
      </c>
      <c r="C70" s="335">
        <v>12161</v>
      </c>
      <c r="D70" s="335">
        <v>12335</v>
      </c>
      <c r="E70" s="335">
        <v>12372</v>
      </c>
      <c r="F70" s="332">
        <v>12315.543676662321</v>
      </c>
      <c r="G70" s="336">
        <v>12258.079204693611</v>
      </c>
      <c r="H70" s="337">
        <v>12198.598435462842</v>
      </c>
      <c r="I70" s="337">
        <v>12136.093220338982</v>
      </c>
      <c r="J70" s="337">
        <v>12071.571707953062</v>
      </c>
      <c r="K70" s="337">
        <v>12008.058344198173</v>
      </c>
      <c r="L70" s="337">
        <v>11940.512385919163</v>
      </c>
      <c r="M70" s="360">
        <f t="shared" si="1"/>
        <v>11880.112950502928</v>
      </c>
      <c r="N70" s="360">
        <f t="shared" si="1"/>
        <v>11820.019037302212</v>
      </c>
      <c r="O70" s="360">
        <f t="shared" si="2"/>
        <v>11760.22910087502</v>
      </c>
      <c r="P70" s="266"/>
      <c r="Q70" s="266">
        <v>208</v>
      </c>
      <c r="R70" s="266" t="s">
        <v>99</v>
      </c>
      <c r="S70" s="360">
        <f t="shared" si="3"/>
        <v>12372</v>
      </c>
      <c r="T70" s="360">
        <f t="shared" si="4"/>
        <v>12315.543676662321</v>
      </c>
      <c r="U70" s="360">
        <f t="shared" si="5"/>
        <v>12258.079204693611</v>
      </c>
      <c r="V70" s="360">
        <f t="shared" si="6"/>
        <v>12198.598435462842</v>
      </c>
      <c r="W70" s="360">
        <f t="shared" si="7"/>
        <v>12136.093220338982</v>
      </c>
      <c r="X70" s="360">
        <f t="shared" si="8"/>
        <v>12071.571707953062</v>
      </c>
      <c r="Y70" s="360">
        <f t="shared" si="9"/>
        <v>12008.058344198173</v>
      </c>
      <c r="Z70" s="360">
        <f t="shared" si="10"/>
        <v>11940.512385919163</v>
      </c>
      <c r="AA70" s="443">
        <v>0.99494163789089474</v>
      </c>
      <c r="AB70" s="360"/>
      <c r="AC70" s="360"/>
    </row>
    <row r="71" spans="1:29" s="274" customFormat="1" x14ac:dyDescent="0.2">
      <c r="A71" s="271" t="s">
        <v>100</v>
      </c>
      <c r="B71" s="335">
        <v>32214</v>
      </c>
      <c r="C71" s="335">
        <v>32321</v>
      </c>
      <c r="D71" s="335">
        <v>32959</v>
      </c>
      <c r="E71" s="335">
        <v>33473</v>
      </c>
      <c r="F71" s="332">
        <v>33711.426133608154</v>
      </c>
      <c r="G71" s="336">
        <v>33943.764791464608</v>
      </c>
      <c r="H71" s="337">
        <v>34162.913918525708</v>
      </c>
      <c r="I71" s="337">
        <v>34371.917252667321</v>
      </c>
      <c r="J71" s="337">
        <v>34571.789373181382</v>
      </c>
      <c r="K71" s="337">
        <v>34766.588597235699</v>
      </c>
      <c r="L71" s="337">
        <v>34958.344083414166</v>
      </c>
      <c r="M71" s="360">
        <f t="shared" si="1"/>
        <v>35175.855556004783</v>
      </c>
      <c r="N71" s="360">
        <f t="shared" si="1"/>
        <v>35394.720389057657</v>
      </c>
      <c r="O71" s="360">
        <f t="shared" si="2"/>
        <v>35614.947003206973</v>
      </c>
      <c r="P71" s="266"/>
      <c r="Q71" s="266">
        <v>211</v>
      </c>
      <c r="R71" s="266" t="s">
        <v>100</v>
      </c>
      <c r="S71" s="360">
        <f t="shared" si="3"/>
        <v>33473</v>
      </c>
      <c r="T71" s="360">
        <f t="shared" si="4"/>
        <v>33711.426133608154</v>
      </c>
      <c r="U71" s="360">
        <f t="shared" si="5"/>
        <v>33943.764791464608</v>
      </c>
      <c r="V71" s="360">
        <f t="shared" si="6"/>
        <v>34162.913918525708</v>
      </c>
      <c r="W71" s="360">
        <f t="shared" si="7"/>
        <v>34371.917252667321</v>
      </c>
      <c r="X71" s="360">
        <f t="shared" si="8"/>
        <v>34571.789373181382</v>
      </c>
      <c r="Y71" s="360">
        <f t="shared" si="9"/>
        <v>34766.588597235699</v>
      </c>
      <c r="Z71" s="360">
        <f t="shared" si="10"/>
        <v>34958.344083414166</v>
      </c>
      <c r="AA71" s="443">
        <v>1.0062220187567126</v>
      </c>
      <c r="AB71" s="360"/>
      <c r="AC71" s="360"/>
    </row>
    <row r="72" spans="1:29" x14ac:dyDescent="0.2">
      <c r="A72" s="154" t="s">
        <v>101</v>
      </c>
      <c r="B72" s="354">
        <v>5312</v>
      </c>
      <c r="C72" s="354">
        <v>5232</v>
      </c>
      <c r="D72" s="354">
        <v>5154</v>
      </c>
      <c r="E72" s="354">
        <v>5114</v>
      </c>
      <c r="F72" s="331">
        <v>5054.1521357519014</v>
      </c>
      <c r="G72" s="336">
        <v>4998.2941291203433</v>
      </c>
      <c r="H72" s="337">
        <v>4944.4310512970551</v>
      </c>
      <c r="I72" s="337">
        <v>4891.5654378779018</v>
      </c>
      <c r="J72" s="337">
        <v>4840.6947532670183</v>
      </c>
      <c r="K72" s="337">
        <v>4791.8189974644047</v>
      </c>
      <c r="L72" s="337">
        <v>4743.940706065926</v>
      </c>
      <c r="M72" s="360">
        <f t="shared" si="1"/>
        <v>4693.3085644173516</v>
      </c>
      <c r="N72" s="360">
        <f t="shared" si="1"/>
        <v>4643.2168202835783</v>
      </c>
      <c r="O72" s="360">
        <f t="shared" si="2"/>
        <v>4593.6597059948117</v>
      </c>
      <c r="Q72" s="266">
        <v>213</v>
      </c>
      <c r="R72" s="266" t="s">
        <v>101</v>
      </c>
      <c r="S72" s="360">
        <f t="shared" si="3"/>
        <v>5114</v>
      </c>
      <c r="T72" s="360">
        <f t="shared" si="4"/>
        <v>5054.1521357519014</v>
      </c>
      <c r="U72" s="360">
        <f t="shared" si="5"/>
        <v>4998.2941291203433</v>
      </c>
      <c r="V72" s="360">
        <f t="shared" si="6"/>
        <v>4944.4310512970551</v>
      </c>
      <c r="W72" s="360">
        <f t="shared" si="7"/>
        <v>4891.5654378779018</v>
      </c>
      <c r="X72" s="360">
        <f t="shared" si="8"/>
        <v>4840.6947532670183</v>
      </c>
      <c r="Y72" s="360">
        <f t="shared" si="9"/>
        <v>4791.8189974644047</v>
      </c>
      <c r="Z72" s="360">
        <f t="shared" si="10"/>
        <v>4743.940706065926</v>
      </c>
      <c r="AA72" s="443">
        <v>0.98932698682683096</v>
      </c>
    </row>
    <row r="73" spans="1:29" x14ac:dyDescent="0.2">
      <c r="A73" s="154" t="s">
        <v>102</v>
      </c>
      <c r="B73" s="354">
        <v>11163</v>
      </c>
      <c r="C73" s="354">
        <v>11138</v>
      </c>
      <c r="D73" s="354">
        <v>12528</v>
      </c>
      <c r="E73" s="354">
        <v>12394</v>
      </c>
      <c r="F73" s="331">
        <v>12247.677739781795</v>
      </c>
      <c r="G73" s="336">
        <v>12107.410193779515</v>
      </c>
      <c r="H73" s="337">
        <v>11974.206481029149</v>
      </c>
      <c r="I73" s="337">
        <v>11848.066601530696</v>
      </c>
      <c r="J73" s="337">
        <v>11724.954079140207</v>
      </c>
      <c r="K73" s="337">
        <v>11605.878032893668</v>
      </c>
      <c r="L73" s="337">
        <v>11486.80198664713</v>
      </c>
      <c r="M73" s="360">
        <f t="shared" ref="M73:N136" si="11">L73*$AA73</f>
        <v>11362.742382747678</v>
      </c>
      <c r="N73" s="360">
        <f t="shared" si="11"/>
        <v>11240.02264570913</v>
      </c>
      <c r="O73" s="360">
        <f t="shared" ref="O73:O136" si="12">N73*$AA73</f>
        <v>11118.628304719488</v>
      </c>
      <c r="Q73" s="266">
        <v>214</v>
      </c>
      <c r="R73" s="266" t="s">
        <v>102</v>
      </c>
      <c r="S73" s="360">
        <f t="shared" ref="S73:S136" si="13">E73</f>
        <v>12394</v>
      </c>
      <c r="T73" s="360">
        <f t="shared" ref="T73:T136" si="14">F73</f>
        <v>12247.677739781795</v>
      </c>
      <c r="U73" s="360">
        <f t="shared" ref="U73:U136" si="15">G73</f>
        <v>12107.410193779515</v>
      </c>
      <c r="V73" s="360">
        <f t="shared" ref="V73:V136" si="16">H73</f>
        <v>11974.206481029149</v>
      </c>
      <c r="W73" s="360">
        <f t="shared" ref="W73:W136" si="17">I73</f>
        <v>11848.066601530696</v>
      </c>
      <c r="X73" s="360">
        <f t="shared" ref="X73:X136" si="18">J73</f>
        <v>11724.954079140207</v>
      </c>
      <c r="Y73" s="360">
        <f t="shared" ref="Y73:Y136" si="19">K73</f>
        <v>11605.878032893668</v>
      </c>
      <c r="Z73" s="360">
        <f t="shared" ref="Z73:Z136" si="20">L73</f>
        <v>11486.80198664713</v>
      </c>
      <c r="AA73" s="443">
        <v>0.98919981348649821</v>
      </c>
    </row>
    <row r="74" spans="1:29" x14ac:dyDescent="0.2">
      <c r="A74" s="154" t="s">
        <v>103</v>
      </c>
      <c r="B74" s="354">
        <v>1323</v>
      </c>
      <c r="C74" s="354">
        <v>1285</v>
      </c>
      <c r="D74" s="354">
        <v>1269</v>
      </c>
      <c r="E74" s="354">
        <v>1217</v>
      </c>
      <c r="F74" s="331">
        <v>1197.7131537242471</v>
      </c>
      <c r="G74" s="336">
        <v>1180.3549920760697</v>
      </c>
      <c r="H74" s="337">
        <v>1166.8541996830429</v>
      </c>
      <c r="I74" s="337">
        <v>1151.4247226624407</v>
      </c>
      <c r="J74" s="337">
        <v>1136.9595879556261</v>
      </c>
      <c r="K74" s="337">
        <v>1123.4587955625991</v>
      </c>
      <c r="L74" s="337">
        <v>1109.9580031695723</v>
      </c>
      <c r="M74" s="360">
        <f t="shared" si="11"/>
        <v>1095.4562251375178</v>
      </c>
      <c r="N74" s="360">
        <f t="shared" si="11"/>
        <v>1081.1439151443356</v>
      </c>
      <c r="O74" s="360">
        <f t="shared" si="12"/>
        <v>1067.0185977599315</v>
      </c>
      <c r="Q74" s="266">
        <v>216</v>
      </c>
      <c r="R74" s="266" t="s">
        <v>103</v>
      </c>
      <c r="S74" s="360">
        <f t="shared" si="13"/>
        <v>1217</v>
      </c>
      <c r="T74" s="360">
        <f t="shared" si="14"/>
        <v>1197.7131537242471</v>
      </c>
      <c r="U74" s="360">
        <f t="shared" si="15"/>
        <v>1180.3549920760697</v>
      </c>
      <c r="V74" s="360">
        <f t="shared" si="16"/>
        <v>1166.8541996830429</v>
      </c>
      <c r="W74" s="360">
        <f t="shared" si="17"/>
        <v>1151.4247226624407</v>
      </c>
      <c r="X74" s="360">
        <f t="shared" si="18"/>
        <v>1136.9595879556261</v>
      </c>
      <c r="Y74" s="360">
        <f t="shared" si="19"/>
        <v>1123.4587955625991</v>
      </c>
      <c r="Z74" s="360">
        <f t="shared" si="20"/>
        <v>1109.9580031695723</v>
      </c>
      <c r="AA74" s="443">
        <v>0.98693484078618876</v>
      </c>
    </row>
    <row r="75" spans="1:29" x14ac:dyDescent="0.2">
      <c r="A75" s="154" t="s">
        <v>104</v>
      </c>
      <c r="B75" s="354">
        <v>5426</v>
      </c>
      <c r="C75" s="354">
        <v>5355</v>
      </c>
      <c r="D75" s="354">
        <v>5352</v>
      </c>
      <c r="E75" s="354">
        <v>5246</v>
      </c>
      <c r="F75" s="331">
        <v>5208.5074290013163</v>
      </c>
      <c r="G75" s="336">
        <v>5174.9614444235467</v>
      </c>
      <c r="H75" s="337">
        <v>5144.3753996614632</v>
      </c>
      <c r="I75" s="337">
        <v>5115.7626481098359</v>
      </c>
      <c r="J75" s="337">
        <v>5086.1632499529806</v>
      </c>
      <c r="K75" s="337">
        <v>5053.60391198044</v>
      </c>
      <c r="L75" s="337">
        <v>5019.0712807974423</v>
      </c>
      <c r="M75" s="360">
        <f t="shared" si="11"/>
        <v>4987.465054908097</v>
      </c>
      <c r="N75" s="360">
        <f t="shared" si="11"/>
        <v>4956.0578605644459</v>
      </c>
      <c r="O75" s="360">
        <f t="shared" si="12"/>
        <v>4924.8484444198766</v>
      </c>
      <c r="Q75" s="266">
        <v>217</v>
      </c>
      <c r="R75" s="266" t="s">
        <v>104</v>
      </c>
      <c r="S75" s="360">
        <f t="shared" si="13"/>
        <v>5246</v>
      </c>
      <c r="T75" s="360">
        <f t="shared" si="14"/>
        <v>5208.5074290013163</v>
      </c>
      <c r="U75" s="360">
        <f t="shared" si="15"/>
        <v>5174.9614444235467</v>
      </c>
      <c r="V75" s="360">
        <f t="shared" si="16"/>
        <v>5144.3753996614632</v>
      </c>
      <c r="W75" s="360">
        <f t="shared" si="17"/>
        <v>5115.7626481098359</v>
      </c>
      <c r="X75" s="360">
        <f t="shared" si="18"/>
        <v>5086.1632499529806</v>
      </c>
      <c r="Y75" s="360">
        <f t="shared" si="19"/>
        <v>5053.60391198044</v>
      </c>
      <c r="Z75" s="360">
        <f t="shared" si="20"/>
        <v>5019.0712807974423</v>
      </c>
      <c r="AA75" s="443">
        <v>0.99370277405497942</v>
      </c>
    </row>
    <row r="76" spans="1:29" x14ac:dyDescent="0.2">
      <c r="A76" s="154" t="s">
        <v>105</v>
      </c>
      <c r="B76" s="354">
        <v>1207</v>
      </c>
      <c r="C76" s="354">
        <v>1167</v>
      </c>
      <c r="D76" s="354">
        <v>1200</v>
      </c>
      <c r="E76" s="354">
        <v>1188</v>
      </c>
      <c r="F76" s="331">
        <v>1164.8503100088574</v>
      </c>
      <c r="G76" s="336">
        <v>1144.8573959255978</v>
      </c>
      <c r="H76" s="337">
        <v>1126.9689991142602</v>
      </c>
      <c r="I76" s="337">
        <v>1106.9760850310006</v>
      </c>
      <c r="J76" s="337">
        <v>1093.2967227635072</v>
      </c>
      <c r="K76" s="337">
        <v>1076.4605845881308</v>
      </c>
      <c r="L76" s="337">
        <v>1062.7812223206374</v>
      </c>
      <c r="M76" s="360">
        <f t="shared" si="11"/>
        <v>1046.0075338141746</v>
      </c>
      <c r="N76" s="360">
        <f t="shared" si="11"/>
        <v>1029.4985814737286</v>
      </c>
      <c r="O76" s="360">
        <f t="shared" si="12"/>
        <v>1013.2501870151033</v>
      </c>
      <c r="Q76" s="266">
        <v>218</v>
      </c>
      <c r="R76" s="266" t="s">
        <v>105</v>
      </c>
      <c r="S76" s="360">
        <f t="shared" si="13"/>
        <v>1188</v>
      </c>
      <c r="T76" s="360">
        <f t="shared" si="14"/>
        <v>1164.8503100088574</v>
      </c>
      <c r="U76" s="360">
        <f t="shared" si="15"/>
        <v>1144.8573959255978</v>
      </c>
      <c r="V76" s="360">
        <f t="shared" si="16"/>
        <v>1126.9689991142602</v>
      </c>
      <c r="W76" s="360">
        <f t="shared" si="17"/>
        <v>1106.9760850310006</v>
      </c>
      <c r="X76" s="360">
        <f t="shared" si="18"/>
        <v>1093.2967227635072</v>
      </c>
      <c r="Y76" s="360">
        <f t="shared" si="19"/>
        <v>1076.4605845881308</v>
      </c>
      <c r="Z76" s="360">
        <f t="shared" si="20"/>
        <v>1062.7812223206374</v>
      </c>
      <c r="AA76" s="443">
        <v>0.98421717644781437</v>
      </c>
    </row>
    <row r="77" spans="1:29" x14ac:dyDescent="0.2">
      <c r="A77" s="154" t="s">
        <v>106</v>
      </c>
      <c r="B77" s="354">
        <v>8696</v>
      </c>
      <c r="C77" s="354">
        <v>8579</v>
      </c>
      <c r="D77" s="354">
        <v>8603</v>
      </c>
      <c r="E77" s="354">
        <v>8581</v>
      </c>
      <c r="F77" s="331">
        <v>8532.6393096160627</v>
      </c>
      <c r="G77" s="336">
        <v>8487.3011623811217</v>
      </c>
      <c r="H77" s="337">
        <v>8449.0156158271711</v>
      </c>
      <c r="I77" s="337">
        <v>8411.7375836562187</v>
      </c>
      <c r="J77" s="337">
        <v>8377.4820946342625</v>
      </c>
      <c r="K77" s="337">
        <v>8347.2566631443024</v>
      </c>
      <c r="L77" s="337">
        <v>8322.0688035693347</v>
      </c>
      <c r="M77" s="360">
        <f t="shared" si="11"/>
        <v>8285.7250176624802</v>
      </c>
      <c r="N77" s="360">
        <f t="shared" si="11"/>
        <v>8249.5399507959537</v>
      </c>
      <c r="O77" s="360">
        <f t="shared" si="12"/>
        <v>8213.5129098186935</v>
      </c>
      <c r="Q77" s="266">
        <v>224</v>
      </c>
      <c r="R77" s="266" t="s">
        <v>106</v>
      </c>
      <c r="S77" s="360">
        <f t="shared" si="13"/>
        <v>8581</v>
      </c>
      <c r="T77" s="360">
        <f t="shared" si="14"/>
        <v>8532.6393096160627</v>
      </c>
      <c r="U77" s="360">
        <f t="shared" si="15"/>
        <v>8487.3011623811217</v>
      </c>
      <c r="V77" s="360">
        <f t="shared" si="16"/>
        <v>8449.0156158271711</v>
      </c>
      <c r="W77" s="360">
        <f t="shared" si="17"/>
        <v>8411.7375836562187</v>
      </c>
      <c r="X77" s="360">
        <f t="shared" si="18"/>
        <v>8377.4820946342625</v>
      </c>
      <c r="Y77" s="360">
        <f t="shared" si="19"/>
        <v>8347.2566631443024</v>
      </c>
      <c r="Z77" s="360">
        <f t="shared" si="20"/>
        <v>8322.0688035693347</v>
      </c>
      <c r="AA77" s="443">
        <v>0.99563284241398409</v>
      </c>
    </row>
    <row r="78" spans="1:29" x14ac:dyDescent="0.2">
      <c r="A78" s="154" t="s">
        <v>107</v>
      </c>
      <c r="B78" s="354">
        <v>3858</v>
      </c>
      <c r="C78" s="354">
        <v>3837</v>
      </c>
      <c r="D78" s="354">
        <v>3665</v>
      </c>
      <c r="E78" s="354">
        <v>3625</v>
      </c>
      <c r="F78" s="331">
        <v>3553.2178217821784</v>
      </c>
      <c r="G78" s="336">
        <v>3488.4144664466448</v>
      </c>
      <c r="H78" s="337">
        <v>3425.6050605060509</v>
      </c>
      <c r="I78" s="337">
        <v>3364.7896039603961</v>
      </c>
      <c r="J78" s="337">
        <v>3306.9650715071507</v>
      </c>
      <c r="K78" s="337">
        <v>3254.1254125412538</v>
      </c>
      <c r="L78" s="337">
        <v>3201.2857535753574</v>
      </c>
      <c r="M78" s="360">
        <f t="shared" si="11"/>
        <v>3144.9433599505692</v>
      </c>
      <c r="N78" s="360">
        <f t="shared" si="11"/>
        <v>3089.5925883063633</v>
      </c>
      <c r="O78" s="360">
        <f t="shared" si="12"/>
        <v>3035.215986168872</v>
      </c>
      <c r="Q78" s="266">
        <v>226</v>
      </c>
      <c r="R78" s="266" t="s">
        <v>107</v>
      </c>
      <c r="S78" s="360">
        <f t="shared" si="13"/>
        <v>3625</v>
      </c>
      <c r="T78" s="360">
        <f t="shared" si="14"/>
        <v>3553.2178217821784</v>
      </c>
      <c r="U78" s="360">
        <f t="shared" si="15"/>
        <v>3488.4144664466448</v>
      </c>
      <c r="V78" s="360">
        <f t="shared" si="16"/>
        <v>3425.6050605060509</v>
      </c>
      <c r="W78" s="360">
        <f t="shared" si="17"/>
        <v>3364.7896039603961</v>
      </c>
      <c r="X78" s="360">
        <f t="shared" si="18"/>
        <v>3306.9650715071507</v>
      </c>
      <c r="Y78" s="360">
        <f t="shared" si="19"/>
        <v>3254.1254125412538</v>
      </c>
      <c r="Z78" s="360">
        <f t="shared" si="20"/>
        <v>3201.2857535753574</v>
      </c>
      <c r="AA78" s="443">
        <v>0.98240007360734283</v>
      </c>
    </row>
    <row r="79" spans="1:29" x14ac:dyDescent="0.2">
      <c r="A79" s="154" t="s">
        <v>108</v>
      </c>
      <c r="B79" s="354">
        <v>2322</v>
      </c>
      <c r="C79" s="354">
        <v>2317</v>
      </c>
      <c r="D79" s="354">
        <v>2240</v>
      </c>
      <c r="E79" s="354">
        <v>2216</v>
      </c>
      <c r="F79" s="331">
        <v>2190.2210290827743</v>
      </c>
      <c r="G79" s="336">
        <v>2164.4420581655481</v>
      </c>
      <c r="H79" s="337">
        <v>2142.6290827740495</v>
      </c>
      <c r="I79" s="337">
        <v>2121.8076062639825</v>
      </c>
      <c r="J79" s="337">
        <v>2101.9776286353472</v>
      </c>
      <c r="K79" s="337">
        <v>2082.1476510067118</v>
      </c>
      <c r="L79" s="337">
        <v>2064.3006711409403</v>
      </c>
      <c r="M79" s="360">
        <f t="shared" si="11"/>
        <v>2043.4954917015461</v>
      </c>
      <c r="N79" s="360">
        <f t="shared" si="11"/>
        <v>2022.8999985242149</v>
      </c>
      <c r="O79" s="360">
        <f t="shared" si="12"/>
        <v>2002.5120782732442</v>
      </c>
      <c r="Q79" s="266">
        <v>230</v>
      </c>
      <c r="R79" s="266" t="s">
        <v>108</v>
      </c>
      <c r="S79" s="360">
        <f t="shared" si="13"/>
        <v>2216</v>
      </c>
      <c r="T79" s="360">
        <f t="shared" si="14"/>
        <v>2190.2210290827743</v>
      </c>
      <c r="U79" s="360">
        <f t="shared" si="15"/>
        <v>2164.4420581655481</v>
      </c>
      <c r="V79" s="360">
        <f t="shared" si="16"/>
        <v>2142.6290827740495</v>
      </c>
      <c r="W79" s="360">
        <f t="shared" si="17"/>
        <v>2121.8076062639825</v>
      </c>
      <c r="X79" s="360">
        <f t="shared" si="18"/>
        <v>2101.9776286353472</v>
      </c>
      <c r="Y79" s="360">
        <f t="shared" si="19"/>
        <v>2082.1476510067118</v>
      </c>
      <c r="Z79" s="360">
        <f t="shared" si="20"/>
        <v>2064.3006711409403</v>
      </c>
      <c r="AA79" s="443">
        <v>0.98992143938610688</v>
      </c>
    </row>
    <row r="80" spans="1:29" x14ac:dyDescent="0.2">
      <c r="A80" s="154" t="s">
        <v>109</v>
      </c>
      <c r="B80" s="354">
        <v>1278</v>
      </c>
      <c r="C80" s="354">
        <v>1221</v>
      </c>
      <c r="D80" s="354">
        <v>1256</v>
      </c>
      <c r="E80" s="354">
        <v>1208</v>
      </c>
      <c r="F80" s="331">
        <v>1212.6569005397071</v>
      </c>
      <c r="G80" s="336">
        <v>1216.3824209714728</v>
      </c>
      <c r="H80" s="337">
        <v>1221.0393215111799</v>
      </c>
      <c r="I80" s="337">
        <v>1223.8334618350043</v>
      </c>
      <c r="J80" s="337">
        <v>1226.6276021588287</v>
      </c>
      <c r="K80" s="337">
        <v>1227.5589822667703</v>
      </c>
      <c r="L80" s="337">
        <v>1228.4903623747118</v>
      </c>
      <c r="M80" s="360">
        <f t="shared" si="11"/>
        <v>1231.4466703752043</v>
      </c>
      <c r="N80" s="360">
        <f t="shared" si="11"/>
        <v>1234.4100926008152</v>
      </c>
      <c r="O80" s="360">
        <f t="shared" si="12"/>
        <v>1237.3806461716144</v>
      </c>
      <c r="Q80" s="266">
        <v>231</v>
      </c>
      <c r="R80" s="266" t="s">
        <v>109</v>
      </c>
      <c r="S80" s="360">
        <f t="shared" si="13"/>
        <v>1208</v>
      </c>
      <c r="T80" s="360">
        <f t="shared" si="14"/>
        <v>1212.6569005397071</v>
      </c>
      <c r="U80" s="360">
        <f t="shared" si="15"/>
        <v>1216.3824209714728</v>
      </c>
      <c r="V80" s="360">
        <f t="shared" si="16"/>
        <v>1221.0393215111799</v>
      </c>
      <c r="W80" s="360">
        <f t="shared" si="17"/>
        <v>1223.8334618350043</v>
      </c>
      <c r="X80" s="360">
        <f t="shared" si="18"/>
        <v>1226.6276021588287</v>
      </c>
      <c r="Y80" s="360">
        <f t="shared" si="19"/>
        <v>1227.5589822667703</v>
      </c>
      <c r="Z80" s="360">
        <f t="shared" si="20"/>
        <v>1228.4903623747118</v>
      </c>
      <c r="AA80" s="443">
        <v>1.0024064559975692</v>
      </c>
    </row>
    <row r="81" spans="1:27" x14ac:dyDescent="0.2">
      <c r="A81" s="154" t="s">
        <v>110</v>
      </c>
      <c r="B81" s="354">
        <v>13007</v>
      </c>
      <c r="C81" s="354">
        <v>12896</v>
      </c>
      <c r="D81" s="354">
        <v>12750</v>
      </c>
      <c r="E81" s="354">
        <v>12618</v>
      </c>
      <c r="F81" s="331">
        <v>12470.003031995531</v>
      </c>
      <c r="G81" s="336">
        <v>12334.087449134286</v>
      </c>
      <c r="H81" s="337">
        <v>12202.198994654113</v>
      </c>
      <c r="I81" s="337">
        <v>12070.310540173941</v>
      </c>
      <c r="J81" s="337">
        <v>11935.401739407964</v>
      </c>
      <c r="K81" s="337">
        <v>11802.506502832523</v>
      </c>
      <c r="L81" s="337">
        <v>11670.618048352351</v>
      </c>
      <c r="M81" s="360">
        <f t="shared" si="11"/>
        <v>11541.214082093571</v>
      </c>
      <c r="N81" s="360">
        <f t="shared" si="11"/>
        <v>11413.244948712889</v>
      </c>
      <c r="O81" s="360">
        <f t="shared" si="12"/>
        <v>11286.694738764501</v>
      </c>
      <c r="Q81" s="266">
        <v>232</v>
      </c>
      <c r="R81" s="266" t="s">
        <v>110</v>
      </c>
      <c r="S81" s="360">
        <f t="shared" si="13"/>
        <v>12618</v>
      </c>
      <c r="T81" s="360">
        <f t="shared" si="14"/>
        <v>12470.003031995531</v>
      </c>
      <c r="U81" s="360">
        <f t="shared" si="15"/>
        <v>12334.087449134286</v>
      </c>
      <c r="V81" s="360">
        <f t="shared" si="16"/>
        <v>12202.198994654113</v>
      </c>
      <c r="W81" s="360">
        <f t="shared" si="17"/>
        <v>12070.310540173941</v>
      </c>
      <c r="X81" s="360">
        <f t="shared" si="18"/>
        <v>11935.401739407964</v>
      </c>
      <c r="Y81" s="360">
        <f t="shared" si="19"/>
        <v>11802.506502832523</v>
      </c>
      <c r="Z81" s="360">
        <f t="shared" si="20"/>
        <v>11670.618048352351</v>
      </c>
      <c r="AA81" s="443">
        <v>0.98891198686113724</v>
      </c>
    </row>
    <row r="82" spans="1:27" x14ac:dyDescent="0.2">
      <c r="A82" s="154" t="s">
        <v>111</v>
      </c>
      <c r="B82" s="354">
        <v>15514</v>
      </c>
      <c r="C82" s="354">
        <v>15377</v>
      </c>
      <c r="D82" s="354">
        <v>15116</v>
      </c>
      <c r="E82" s="354">
        <v>15165</v>
      </c>
      <c r="F82" s="331">
        <v>14943.128033980583</v>
      </c>
      <c r="G82" s="336">
        <v>14735.570388349515</v>
      </c>
      <c r="H82" s="337">
        <v>14534.147451456312</v>
      </c>
      <c r="I82" s="337">
        <v>14340.904126213594</v>
      </c>
      <c r="J82" s="337">
        <v>14152.773058252429</v>
      </c>
      <c r="K82" s="337">
        <v>13969.754247572817</v>
      </c>
      <c r="L82" s="337">
        <v>13793.892597087379</v>
      </c>
      <c r="M82" s="360">
        <f t="shared" si="11"/>
        <v>13608.415500264413</v>
      </c>
      <c r="N82" s="360">
        <f t="shared" si="11"/>
        <v>13425.432387877221</v>
      </c>
      <c r="O82" s="360">
        <f t="shared" si="12"/>
        <v>13244.909725012478</v>
      </c>
      <c r="Q82" s="266">
        <v>233</v>
      </c>
      <c r="R82" s="266" t="s">
        <v>111</v>
      </c>
      <c r="S82" s="360">
        <f t="shared" si="13"/>
        <v>15165</v>
      </c>
      <c r="T82" s="360">
        <f t="shared" si="14"/>
        <v>14943.128033980583</v>
      </c>
      <c r="U82" s="360">
        <f t="shared" si="15"/>
        <v>14735.570388349515</v>
      </c>
      <c r="V82" s="360">
        <f t="shared" si="16"/>
        <v>14534.147451456312</v>
      </c>
      <c r="W82" s="360">
        <f t="shared" si="17"/>
        <v>14340.904126213594</v>
      </c>
      <c r="X82" s="360">
        <f t="shared" si="18"/>
        <v>14152.773058252429</v>
      </c>
      <c r="Y82" s="360">
        <f t="shared" si="19"/>
        <v>13969.754247572817</v>
      </c>
      <c r="Z82" s="360">
        <f t="shared" si="20"/>
        <v>13793.892597087379</v>
      </c>
      <c r="AA82" s="443">
        <v>0.98655367978853703</v>
      </c>
    </row>
    <row r="83" spans="1:27" x14ac:dyDescent="0.2">
      <c r="A83" s="154" t="s">
        <v>112</v>
      </c>
      <c r="B83" s="354">
        <v>10178</v>
      </c>
      <c r="C83" s="354">
        <v>9858</v>
      </c>
      <c r="D83" s="354">
        <v>10284</v>
      </c>
      <c r="E83" s="354">
        <v>10270</v>
      </c>
      <c r="F83" s="331">
        <v>10390.651823780199</v>
      </c>
      <c r="G83" s="336">
        <v>10511.303647560399</v>
      </c>
      <c r="H83" s="337">
        <v>10629.03647560398</v>
      </c>
      <c r="I83" s="337">
        <v>10739.958313595454</v>
      </c>
      <c r="J83" s="337">
        <v>10846.015158692566</v>
      </c>
      <c r="K83" s="337">
        <v>10952.072003789677</v>
      </c>
      <c r="L83" s="337">
        <v>11051.31785883468</v>
      </c>
      <c r="M83" s="360">
        <f t="shared" si="11"/>
        <v>11167.690000726008</v>
      </c>
      <c r="N83" s="360">
        <f t="shared" si="11"/>
        <v>11285.287559855477</v>
      </c>
      <c r="O83" s="360">
        <f t="shared" si="12"/>
        <v>11404.123440062294</v>
      </c>
      <c r="Q83" s="266">
        <v>235</v>
      </c>
      <c r="R83" s="266" t="s">
        <v>112</v>
      </c>
      <c r="S83" s="360">
        <f t="shared" si="13"/>
        <v>10270</v>
      </c>
      <c r="T83" s="360">
        <f t="shared" si="14"/>
        <v>10390.651823780199</v>
      </c>
      <c r="U83" s="360">
        <f t="shared" si="15"/>
        <v>10511.303647560399</v>
      </c>
      <c r="V83" s="360">
        <f t="shared" si="16"/>
        <v>10629.03647560398</v>
      </c>
      <c r="W83" s="360">
        <f t="shared" si="17"/>
        <v>10739.958313595454</v>
      </c>
      <c r="X83" s="360">
        <f t="shared" si="18"/>
        <v>10846.015158692566</v>
      </c>
      <c r="Y83" s="360">
        <f t="shared" si="19"/>
        <v>10952.072003789677</v>
      </c>
      <c r="Z83" s="360">
        <f t="shared" si="20"/>
        <v>11051.31785883468</v>
      </c>
      <c r="AA83" s="443">
        <v>1.0105301596947822</v>
      </c>
    </row>
    <row r="84" spans="1:27" x14ac:dyDescent="0.2">
      <c r="A84" s="154" t="s">
        <v>113</v>
      </c>
      <c r="B84" s="354">
        <v>4228</v>
      </c>
      <c r="C84" s="354">
        <v>4237</v>
      </c>
      <c r="D84" s="354">
        <v>4198</v>
      </c>
      <c r="E84" s="354">
        <v>4137</v>
      </c>
      <c r="F84" s="331">
        <v>4110.0651073064864</v>
      </c>
      <c r="G84" s="336">
        <v>4079.13986013986</v>
      </c>
      <c r="H84" s="337">
        <v>4048.2146129732337</v>
      </c>
      <c r="I84" s="337">
        <v>4017.2893658066073</v>
      </c>
      <c r="J84" s="337">
        <v>3986.3641186399805</v>
      </c>
      <c r="K84" s="337">
        <v>3953.4436942367975</v>
      </c>
      <c r="L84" s="337">
        <v>3916.5329153605016</v>
      </c>
      <c r="M84" s="360">
        <f t="shared" si="11"/>
        <v>3886.0129369306092</v>
      </c>
      <c r="N84" s="360">
        <f t="shared" si="11"/>
        <v>3855.7307885160621</v>
      </c>
      <c r="O84" s="360">
        <f t="shared" si="12"/>
        <v>3825.6846168024381</v>
      </c>
      <c r="Q84" s="266">
        <v>236</v>
      </c>
      <c r="R84" s="266" t="s">
        <v>113</v>
      </c>
      <c r="S84" s="360">
        <f t="shared" si="13"/>
        <v>4137</v>
      </c>
      <c r="T84" s="360">
        <f t="shared" si="14"/>
        <v>4110.0651073064864</v>
      </c>
      <c r="U84" s="360">
        <f t="shared" si="15"/>
        <v>4079.13986013986</v>
      </c>
      <c r="V84" s="360">
        <f t="shared" si="16"/>
        <v>4048.2146129732337</v>
      </c>
      <c r="W84" s="360">
        <f t="shared" si="17"/>
        <v>4017.2893658066073</v>
      </c>
      <c r="X84" s="360">
        <f t="shared" si="18"/>
        <v>3986.3641186399805</v>
      </c>
      <c r="Y84" s="360">
        <f t="shared" si="19"/>
        <v>3953.4436942367975</v>
      </c>
      <c r="Z84" s="360">
        <f t="shared" si="20"/>
        <v>3916.5329153605016</v>
      </c>
      <c r="AA84" s="443">
        <v>0.99220739897009569</v>
      </c>
    </row>
    <row r="85" spans="1:27" x14ac:dyDescent="0.2">
      <c r="A85" s="154" t="s">
        <v>114</v>
      </c>
      <c r="B85" s="354">
        <v>2155</v>
      </c>
      <c r="C85" s="354">
        <v>2148</v>
      </c>
      <c r="D85" s="354">
        <v>2029</v>
      </c>
      <c r="E85" s="354">
        <v>2035</v>
      </c>
      <c r="F85" s="331">
        <v>2003.0314187530682</v>
      </c>
      <c r="G85" s="336">
        <v>1969.0648011782032</v>
      </c>
      <c r="H85" s="337">
        <v>1941.092292587138</v>
      </c>
      <c r="I85" s="337">
        <v>1912.1207658321059</v>
      </c>
      <c r="J85" s="337">
        <v>1887.1453117329404</v>
      </c>
      <c r="K85" s="337">
        <v>1860.1718213058416</v>
      </c>
      <c r="L85" s="337">
        <v>1834.1973490427094</v>
      </c>
      <c r="M85" s="360">
        <f t="shared" si="11"/>
        <v>1807.1778532831343</v>
      </c>
      <c r="N85" s="360">
        <f t="shared" si="11"/>
        <v>1780.5563807523479</v>
      </c>
      <c r="O85" s="360">
        <f t="shared" si="12"/>
        <v>1754.3270681843564</v>
      </c>
      <c r="Q85" s="266">
        <v>239</v>
      </c>
      <c r="R85" s="266" t="s">
        <v>114</v>
      </c>
      <c r="S85" s="360">
        <f t="shared" si="13"/>
        <v>2035</v>
      </c>
      <c r="T85" s="360">
        <f t="shared" si="14"/>
        <v>2003.0314187530682</v>
      </c>
      <c r="U85" s="360">
        <f t="shared" si="15"/>
        <v>1969.0648011782032</v>
      </c>
      <c r="V85" s="360">
        <f t="shared" si="16"/>
        <v>1941.092292587138</v>
      </c>
      <c r="W85" s="360">
        <f t="shared" si="17"/>
        <v>1912.1207658321059</v>
      </c>
      <c r="X85" s="360">
        <f t="shared" si="18"/>
        <v>1887.1453117329404</v>
      </c>
      <c r="Y85" s="360">
        <f t="shared" si="19"/>
        <v>1860.1718213058416</v>
      </c>
      <c r="Z85" s="360">
        <f t="shared" si="20"/>
        <v>1834.1973490427094</v>
      </c>
      <c r="AA85" s="443">
        <v>0.98526903565002044</v>
      </c>
    </row>
    <row r="86" spans="1:27" x14ac:dyDescent="0.2">
      <c r="A86" s="154" t="s">
        <v>22</v>
      </c>
      <c r="B86" s="354">
        <v>20437</v>
      </c>
      <c r="C86" s="354">
        <v>20272</v>
      </c>
      <c r="D86" s="354">
        <v>19499</v>
      </c>
      <c r="E86" s="354">
        <v>19371</v>
      </c>
      <c r="F86" s="331">
        <v>19116.989744374714</v>
      </c>
      <c r="G86" s="336">
        <v>18871.874789530077</v>
      </c>
      <c r="H86" s="337">
        <v>18635.655135466091</v>
      </c>
      <c r="I86" s="337">
        <v>18407.342415429353</v>
      </c>
      <c r="J86" s="337">
        <v>18188.913362926676</v>
      </c>
      <c r="K86" s="337">
        <v>17976.414510944433</v>
      </c>
      <c r="L86" s="337">
        <v>17769.845859482622</v>
      </c>
      <c r="M86" s="360">
        <f t="shared" si="11"/>
        <v>17552.181632967826</v>
      </c>
      <c r="N86" s="360">
        <f t="shared" si="11"/>
        <v>17337.183592523459</v>
      </c>
      <c r="O86" s="360">
        <f t="shared" si="12"/>
        <v>17124.819079828605</v>
      </c>
      <c r="Q86" s="266">
        <v>240</v>
      </c>
      <c r="R86" s="266" t="s">
        <v>22</v>
      </c>
      <c r="S86" s="360">
        <f t="shared" si="13"/>
        <v>19371</v>
      </c>
      <c r="T86" s="360">
        <f t="shared" si="14"/>
        <v>19116.989744374714</v>
      </c>
      <c r="U86" s="360">
        <f t="shared" si="15"/>
        <v>18871.874789530077</v>
      </c>
      <c r="V86" s="360">
        <f t="shared" si="16"/>
        <v>18635.655135466091</v>
      </c>
      <c r="W86" s="360">
        <f t="shared" si="17"/>
        <v>18407.342415429353</v>
      </c>
      <c r="X86" s="360">
        <f t="shared" si="18"/>
        <v>18188.913362926676</v>
      </c>
      <c r="Y86" s="360">
        <f t="shared" si="19"/>
        <v>17976.414510944433</v>
      </c>
      <c r="Z86" s="360">
        <f t="shared" si="20"/>
        <v>17769.845859482622</v>
      </c>
      <c r="AA86" s="443">
        <v>0.98775092208249826</v>
      </c>
    </row>
    <row r="87" spans="1:27" x14ac:dyDescent="0.2">
      <c r="A87" s="154" t="s">
        <v>115</v>
      </c>
      <c r="B87" s="354">
        <v>7191</v>
      </c>
      <c r="C87" s="354">
        <v>6982</v>
      </c>
      <c r="D87" s="354">
        <v>6996</v>
      </c>
      <c r="E87" s="354">
        <v>7030</v>
      </c>
      <c r="F87" s="331">
        <v>6929.2925010963309</v>
      </c>
      <c r="G87" s="336">
        <v>6834.7507674316621</v>
      </c>
      <c r="H87" s="337">
        <v>6741.236661306827</v>
      </c>
      <c r="I87" s="337">
        <v>6653.8883204209915</v>
      </c>
      <c r="J87" s="337">
        <v>6571.6781172343235</v>
      </c>
      <c r="K87" s="337">
        <v>6491.523169127322</v>
      </c>
      <c r="L87" s="337">
        <v>6415.4787311796536</v>
      </c>
      <c r="M87" s="360">
        <f t="shared" si="11"/>
        <v>6332.1917924829804</v>
      </c>
      <c r="N87" s="360">
        <f t="shared" si="11"/>
        <v>6249.9861003227115</v>
      </c>
      <c r="O87" s="360">
        <f t="shared" si="12"/>
        <v>6168.8476177551102</v>
      </c>
      <c r="Q87" s="266">
        <v>320</v>
      </c>
      <c r="R87" s="266" t="s">
        <v>115</v>
      </c>
      <c r="S87" s="360">
        <f t="shared" si="13"/>
        <v>7030</v>
      </c>
      <c r="T87" s="360">
        <f t="shared" si="14"/>
        <v>6929.2925010963309</v>
      </c>
      <c r="U87" s="360">
        <f t="shared" si="15"/>
        <v>6834.7507674316621</v>
      </c>
      <c r="V87" s="360">
        <f t="shared" si="16"/>
        <v>6741.236661306827</v>
      </c>
      <c r="W87" s="360">
        <f t="shared" si="17"/>
        <v>6653.8883204209915</v>
      </c>
      <c r="X87" s="360">
        <f t="shared" si="18"/>
        <v>6571.6781172343235</v>
      </c>
      <c r="Y87" s="360">
        <f t="shared" si="19"/>
        <v>6491.523169127322</v>
      </c>
      <c r="Z87" s="360">
        <f t="shared" si="20"/>
        <v>6415.4787311796536</v>
      </c>
      <c r="AA87" s="443">
        <v>0.98701781391747223</v>
      </c>
    </row>
    <row r="88" spans="1:27" x14ac:dyDescent="0.2">
      <c r="A88" s="154" t="s">
        <v>116</v>
      </c>
      <c r="B88" s="354">
        <v>7984</v>
      </c>
      <c r="C88" s="354">
        <v>7869</v>
      </c>
      <c r="D88" s="354">
        <v>7771</v>
      </c>
      <c r="E88" s="354">
        <v>7691</v>
      </c>
      <c r="F88" s="331">
        <v>7624.7579380383086</v>
      </c>
      <c r="G88" s="336">
        <v>7558.5158760766171</v>
      </c>
      <c r="H88" s="337">
        <v>7492.2738141149257</v>
      </c>
      <c r="I88" s="337">
        <v>7421.0883146934057</v>
      </c>
      <c r="J88" s="337">
        <v>7353.8575652397485</v>
      </c>
      <c r="K88" s="337">
        <v>7283.6607533101942</v>
      </c>
      <c r="L88" s="337">
        <v>7211.4865663967084</v>
      </c>
      <c r="M88" s="360">
        <f t="shared" si="11"/>
        <v>7145.4707361710898</v>
      </c>
      <c r="N88" s="360">
        <f t="shared" si="11"/>
        <v>7080.0592320854776</v>
      </c>
      <c r="O88" s="360">
        <f t="shared" si="12"/>
        <v>7015.2465219806572</v>
      </c>
      <c r="Q88" s="266">
        <v>241</v>
      </c>
      <c r="R88" s="266" t="s">
        <v>116</v>
      </c>
      <c r="S88" s="360">
        <f t="shared" si="13"/>
        <v>7691</v>
      </c>
      <c r="T88" s="360">
        <f t="shared" si="14"/>
        <v>7624.7579380383086</v>
      </c>
      <c r="U88" s="360">
        <f t="shared" si="15"/>
        <v>7558.5158760766171</v>
      </c>
      <c r="V88" s="360">
        <f t="shared" si="16"/>
        <v>7492.2738141149257</v>
      </c>
      <c r="W88" s="360">
        <f t="shared" si="17"/>
        <v>7421.0883146934057</v>
      </c>
      <c r="X88" s="360">
        <f t="shared" si="18"/>
        <v>7353.8575652397485</v>
      </c>
      <c r="Y88" s="360">
        <f t="shared" si="19"/>
        <v>7283.6607533101942</v>
      </c>
      <c r="Z88" s="360">
        <f t="shared" si="20"/>
        <v>7211.4865663967084</v>
      </c>
      <c r="AA88" s="443">
        <v>0.99084573900016237</v>
      </c>
    </row>
    <row r="89" spans="1:27" x14ac:dyDescent="0.2">
      <c r="A89" s="154" t="s">
        <v>349</v>
      </c>
      <c r="B89" s="354">
        <v>6609</v>
      </c>
      <c r="C89" s="354">
        <v>6552</v>
      </c>
      <c r="D89" s="354">
        <v>6549</v>
      </c>
      <c r="E89" s="354">
        <v>6462</v>
      </c>
      <c r="F89" s="331">
        <v>6408.6366469305076</v>
      </c>
      <c r="G89" s="336">
        <v>6363.3281396073535</v>
      </c>
      <c r="H89" s="337">
        <v>6321.0401994390768</v>
      </c>
      <c r="I89" s="337">
        <v>6280.7659707073844</v>
      </c>
      <c r="J89" s="337">
        <v>6242.5054534122773</v>
      </c>
      <c r="K89" s="337">
        <v>6206.2586475537546</v>
      </c>
      <c r="L89" s="337">
        <v>6171.018697413524</v>
      </c>
      <c r="M89" s="360">
        <f t="shared" si="11"/>
        <v>6130.5357197133853</v>
      </c>
      <c r="N89" s="360">
        <f t="shared" si="11"/>
        <v>6090.3183175306494</v>
      </c>
      <c r="O89" s="360">
        <f t="shared" si="12"/>
        <v>6050.3647486427963</v>
      </c>
      <c r="Q89" s="266">
        <v>322</v>
      </c>
      <c r="R89" s="266" t="s">
        <v>349</v>
      </c>
      <c r="S89" s="360">
        <f t="shared" si="13"/>
        <v>6462</v>
      </c>
      <c r="T89" s="360">
        <f t="shared" si="14"/>
        <v>6408.6366469305076</v>
      </c>
      <c r="U89" s="360">
        <f t="shared" si="15"/>
        <v>6363.3281396073535</v>
      </c>
      <c r="V89" s="360">
        <f t="shared" si="16"/>
        <v>6321.0401994390768</v>
      </c>
      <c r="W89" s="360">
        <f t="shared" si="17"/>
        <v>6280.7659707073844</v>
      </c>
      <c r="X89" s="360">
        <f t="shared" si="18"/>
        <v>6242.5054534122773</v>
      </c>
      <c r="Y89" s="360">
        <f t="shared" si="19"/>
        <v>6206.2586475537546</v>
      </c>
      <c r="Z89" s="360">
        <f t="shared" si="20"/>
        <v>6171.018697413524</v>
      </c>
      <c r="AA89" s="443">
        <v>0.99343982255035035</v>
      </c>
    </row>
    <row r="90" spans="1:27" x14ac:dyDescent="0.2">
      <c r="A90" s="154" t="s">
        <v>117</v>
      </c>
      <c r="B90" s="354">
        <v>18796</v>
      </c>
      <c r="C90" s="354">
        <v>18562</v>
      </c>
      <c r="D90" s="354">
        <v>19300</v>
      </c>
      <c r="E90" s="354">
        <v>19514</v>
      </c>
      <c r="F90" s="331">
        <v>19817.800181378476</v>
      </c>
      <c r="G90" s="336">
        <v>20098.987404272473</v>
      </c>
      <c r="H90" s="337">
        <v>20361.494357114068</v>
      </c>
      <c r="I90" s="337">
        <v>20613.186416767432</v>
      </c>
      <c r="J90" s="337">
        <v>20846.198206368401</v>
      </c>
      <c r="K90" s="337">
        <v>21061.512898024994</v>
      </c>
      <c r="L90" s="337">
        <v>21267.979040709397</v>
      </c>
      <c r="M90" s="360">
        <f t="shared" si="11"/>
        <v>21531.138596494882</v>
      </c>
      <c r="N90" s="360">
        <f t="shared" si="11"/>
        <v>21797.554359730482</v>
      </c>
      <c r="O90" s="360">
        <f t="shared" si="12"/>
        <v>22067.266621132323</v>
      </c>
      <c r="Q90" s="266">
        <v>244</v>
      </c>
      <c r="R90" s="266" t="s">
        <v>117</v>
      </c>
      <c r="S90" s="360">
        <f t="shared" si="13"/>
        <v>19514</v>
      </c>
      <c r="T90" s="360">
        <f t="shared" si="14"/>
        <v>19817.800181378476</v>
      </c>
      <c r="U90" s="360">
        <f t="shared" si="15"/>
        <v>20098.987404272473</v>
      </c>
      <c r="V90" s="360">
        <f t="shared" si="16"/>
        <v>20361.494357114068</v>
      </c>
      <c r="W90" s="360">
        <f t="shared" si="17"/>
        <v>20613.186416767432</v>
      </c>
      <c r="X90" s="360">
        <f t="shared" si="18"/>
        <v>20846.198206368401</v>
      </c>
      <c r="Y90" s="360">
        <f t="shared" si="19"/>
        <v>21061.512898024994</v>
      </c>
      <c r="Z90" s="360">
        <f t="shared" si="20"/>
        <v>21267.979040709397</v>
      </c>
      <c r="AA90" s="443">
        <v>1.0123735102090221</v>
      </c>
    </row>
    <row r="91" spans="1:27" x14ac:dyDescent="0.2">
      <c r="A91" s="154" t="s">
        <v>118</v>
      </c>
      <c r="B91" s="354">
        <v>37105</v>
      </c>
      <c r="C91" s="354">
        <v>36805</v>
      </c>
      <c r="D91" s="354">
        <v>37676</v>
      </c>
      <c r="E91" s="354">
        <v>38211</v>
      </c>
      <c r="F91" s="331">
        <v>38546.543370880485</v>
      </c>
      <c r="G91" s="336">
        <v>38862.113922065706</v>
      </c>
      <c r="H91" s="337">
        <v>39164.702140449001</v>
      </c>
      <c r="I91" s="337">
        <v>39445.320257167506</v>
      </c>
      <c r="J91" s="337">
        <v>39712.956041084086</v>
      </c>
      <c r="K91" s="337">
        <v>39967.609492198739</v>
      </c>
      <c r="L91" s="337">
        <v>40206.284687557185</v>
      </c>
      <c r="M91" s="360">
        <f t="shared" si="11"/>
        <v>40499.723921962126</v>
      </c>
      <c r="N91" s="360">
        <f t="shared" si="11"/>
        <v>40795.304776388846</v>
      </c>
      <c r="O91" s="360">
        <f t="shared" si="12"/>
        <v>41093.042881113666</v>
      </c>
      <c r="Q91" s="266">
        <v>245</v>
      </c>
      <c r="R91" s="266" t="s">
        <v>118</v>
      </c>
      <c r="S91" s="360">
        <f t="shared" si="13"/>
        <v>38211</v>
      </c>
      <c r="T91" s="360">
        <f t="shared" si="14"/>
        <v>38546.543370880485</v>
      </c>
      <c r="U91" s="360">
        <f t="shared" si="15"/>
        <v>38862.113922065706</v>
      </c>
      <c r="V91" s="360">
        <f t="shared" si="16"/>
        <v>39164.702140449001</v>
      </c>
      <c r="W91" s="360">
        <f t="shared" si="17"/>
        <v>39445.320257167506</v>
      </c>
      <c r="X91" s="360">
        <f t="shared" si="18"/>
        <v>39712.956041084086</v>
      </c>
      <c r="Y91" s="360">
        <f t="shared" si="19"/>
        <v>39967.609492198739</v>
      </c>
      <c r="Z91" s="360">
        <f t="shared" si="20"/>
        <v>40206.284687557185</v>
      </c>
      <c r="AA91" s="443">
        <v>1.0072983424528095</v>
      </c>
    </row>
    <row r="92" spans="1:27" x14ac:dyDescent="0.2">
      <c r="A92" s="154" t="s">
        <v>119</v>
      </c>
      <c r="B92" s="354">
        <v>9486</v>
      </c>
      <c r="C92" s="354">
        <v>9418</v>
      </c>
      <c r="D92" s="354">
        <v>9250</v>
      </c>
      <c r="E92" s="354">
        <v>9184</v>
      </c>
      <c r="F92" s="331">
        <v>9067.9384615384624</v>
      </c>
      <c r="G92" s="336">
        <v>8961.9692307692312</v>
      </c>
      <c r="H92" s="337">
        <v>8857.0092307692321</v>
      </c>
      <c r="I92" s="337">
        <v>8759.1138461538467</v>
      </c>
      <c r="J92" s="337">
        <v>8662.2276923076934</v>
      </c>
      <c r="K92" s="337">
        <v>8568.3692307692327</v>
      </c>
      <c r="L92" s="337">
        <v>8473.5015384615399</v>
      </c>
      <c r="M92" s="360">
        <f t="shared" si="11"/>
        <v>8376.5931360477935</v>
      </c>
      <c r="N92" s="360">
        <f t="shared" si="11"/>
        <v>8280.7930403258852</v>
      </c>
      <c r="O92" s="360">
        <f t="shared" si="12"/>
        <v>8186.0885759891089</v>
      </c>
      <c r="Q92" s="266">
        <v>249</v>
      </c>
      <c r="R92" s="266" t="s">
        <v>119</v>
      </c>
      <c r="S92" s="360">
        <f t="shared" si="13"/>
        <v>9184</v>
      </c>
      <c r="T92" s="360">
        <f t="shared" si="14"/>
        <v>9067.9384615384624</v>
      </c>
      <c r="U92" s="360">
        <f t="shared" si="15"/>
        <v>8961.9692307692312</v>
      </c>
      <c r="V92" s="360">
        <f t="shared" si="16"/>
        <v>8857.0092307692321</v>
      </c>
      <c r="W92" s="360">
        <f t="shared" si="17"/>
        <v>8759.1138461538467</v>
      </c>
      <c r="X92" s="360">
        <f t="shared" si="18"/>
        <v>8662.2276923076934</v>
      </c>
      <c r="Y92" s="360">
        <f t="shared" si="19"/>
        <v>8568.3692307692327</v>
      </c>
      <c r="Z92" s="360">
        <f t="shared" si="20"/>
        <v>8473.5015384615399</v>
      </c>
      <c r="AA92" s="443">
        <v>0.98856335813785179</v>
      </c>
    </row>
    <row r="93" spans="1:27" x14ac:dyDescent="0.2">
      <c r="A93" s="154" t="s">
        <v>120</v>
      </c>
      <c r="B93" s="354">
        <v>1822</v>
      </c>
      <c r="C93" s="354">
        <v>1802</v>
      </c>
      <c r="D93" s="354">
        <v>1771</v>
      </c>
      <c r="E93" s="354">
        <v>1749</v>
      </c>
      <c r="F93" s="331">
        <v>1714.1021126760563</v>
      </c>
      <c r="G93" s="336">
        <v>1681.2570422535211</v>
      </c>
      <c r="H93" s="337">
        <v>1649.4383802816901</v>
      </c>
      <c r="I93" s="337">
        <v>1619.6725352112676</v>
      </c>
      <c r="J93" s="337">
        <v>1587.8538732394366</v>
      </c>
      <c r="K93" s="337">
        <v>1558.088028169014</v>
      </c>
      <c r="L93" s="337">
        <v>1526.269366197183</v>
      </c>
      <c r="M93" s="360">
        <f t="shared" si="11"/>
        <v>1496.8561967707658</v>
      </c>
      <c r="N93" s="360">
        <f t="shared" si="11"/>
        <v>1468.0098568666253</v>
      </c>
      <c r="O93" s="360">
        <f t="shared" si="12"/>
        <v>1439.7194229524259</v>
      </c>
      <c r="Q93" s="266">
        <v>250</v>
      </c>
      <c r="R93" s="266" t="s">
        <v>120</v>
      </c>
      <c r="S93" s="360">
        <f t="shared" si="13"/>
        <v>1749</v>
      </c>
      <c r="T93" s="360">
        <f t="shared" si="14"/>
        <v>1714.1021126760563</v>
      </c>
      <c r="U93" s="360">
        <f t="shared" si="15"/>
        <v>1681.2570422535211</v>
      </c>
      <c r="V93" s="360">
        <f t="shared" si="16"/>
        <v>1649.4383802816901</v>
      </c>
      <c r="W93" s="360">
        <f t="shared" si="17"/>
        <v>1619.6725352112676</v>
      </c>
      <c r="X93" s="360">
        <f t="shared" si="18"/>
        <v>1587.8538732394366</v>
      </c>
      <c r="Y93" s="360">
        <f t="shared" si="19"/>
        <v>1558.088028169014</v>
      </c>
      <c r="Z93" s="360">
        <f t="shared" si="20"/>
        <v>1526.269366197183</v>
      </c>
      <c r="AA93" s="443">
        <v>0.98072871664868544</v>
      </c>
    </row>
    <row r="94" spans="1:27" x14ac:dyDescent="0.2">
      <c r="A94" s="154" t="s">
        <v>121</v>
      </c>
      <c r="B94" s="354">
        <v>1597</v>
      </c>
      <c r="C94" s="354">
        <v>1535</v>
      </c>
      <c r="D94" s="354">
        <v>1554</v>
      </c>
      <c r="E94" s="354">
        <v>1523</v>
      </c>
      <c r="F94" s="331">
        <v>1496.982917214192</v>
      </c>
      <c r="G94" s="336">
        <v>1474.9684625492775</v>
      </c>
      <c r="H94" s="337">
        <v>1450.9526938239162</v>
      </c>
      <c r="I94" s="337">
        <v>1428.9382391590016</v>
      </c>
      <c r="J94" s="337">
        <v>1409.9257555847573</v>
      </c>
      <c r="K94" s="337">
        <v>1388.9119579500662</v>
      </c>
      <c r="L94" s="337">
        <v>1368.8988173455982</v>
      </c>
      <c r="M94" s="360">
        <f t="shared" si="11"/>
        <v>1348.1967574274734</v>
      </c>
      <c r="N94" s="360">
        <f t="shared" si="11"/>
        <v>1327.8077778330533</v>
      </c>
      <c r="O94" s="360">
        <f t="shared" si="12"/>
        <v>1307.7271438021507</v>
      </c>
      <c r="Q94" s="266">
        <v>256</v>
      </c>
      <c r="R94" s="266" t="s">
        <v>121</v>
      </c>
      <c r="S94" s="360">
        <f t="shared" si="13"/>
        <v>1523</v>
      </c>
      <c r="T94" s="360">
        <f t="shared" si="14"/>
        <v>1496.982917214192</v>
      </c>
      <c r="U94" s="360">
        <f t="shared" si="15"/>
        <v>1474.9684625492775</v>
      </c>
      <c r="V94" s="360">
        <f t="shared" si="16"/>
        <v>1450.9526938239162</v>
      </c>
      <c r="W94" s="360">
        <f t="shared" si="17"/>
        <v>1428.9382391590016</v>
      </c>
      <c r="X94" s="360">
        <f t="shared" si="18"/>
        <v>1409.9257555847573</v>
      </c>
      <c r="Y94" s="360">
        <f t="shared" si="19"/>
        <v>1388.9119579500662</v>
      </c>
      <c r="Z94" s="360">
        <f t="shared" si="20"/>
        <v>1368.8988173455982</v>
      </c>
      <c r="AA94" s="443">
        <v>0.98487685163008043</v>
      </c>
    </row>
    <row r="95" spans="1:27" x14ac:dyDescent="0.2">
      <c r="A95" s="154" t="s">
        <v>122</v>
      </c>
      <c r="B95" s="354">
        <v>40082</v>
      </c>
      <c r="C95" s="354">
        <v>39701</v>
      </c>
      <c r="D95" s="354">
        <v>40722</v>
      </c>
      <c r="E95" s="354">
        <v>41154</v>
      </c>
      <c r="F95" s="331">
        <v>41465.015114696733</v>
      </c>
      <c r="G95" s="336">
        <v>41763.029597589426</v>
      </c>
      <c r="H95" s="337">
        <v>42043.043205676513</v>
      </c>
      <c r="I95" s="337">
        <v>42307.056036158632</v>
      </c>
      <c r="J95" s="337">
        <v>42563.068477838257</v>
      </c>
      <c r="K95" s="337">
        <v>42812.080579315705</v>
      </c>
      <c r="L95" s="337">
        <v>43052.092243390354</v>
      </c>
      <c r="M95" s="360">
        <f t="shared" si="11"/>
        <v>43330.311905746225</v>
      </c>
      <c r="N95" s="360">
        <f t="shared" si="11"/>
        <v>43610.329533694196</v>
      </c>
      <c r="O95" s="360">
        <f t="shared" si="12"/>
        <v>43892.156746399647</v>
      </c>
      <c r="Q95" s="266">
        <v>257</v>
      </c>
      <c r="R95" s="266" t="s">
        <v>122</v>
      </c>
      <c r="S95" s="360">
        <f t="shared" si="13"/>
        <v>41154</v>
      </c>
      <c r="T95" s="360">
        <f t="shared" si="14"/>
        <v>41465.015114696733</v>
      </c>
      <c r="U95" s="360">
        <f t="shared" si="15"/>
        <v>41763.029597589426</v>
      </c>
      <c r="V95" s="360">
        <f t="shared" si="16"/>
        <v>42043.043205676513</v>
      </c>
      <c r="W95" s="360">
        <f t="shared" si="17"/>
        <v>42307.056036158632</v>
      </c>
      <c r="X95" s="360">
        <f t="shared" si="18"/>
        <v>42563.068477838257</v>
      </c>
      <c r="Y95" s="360">
        <f t="shared" si="19"/>
        <v>42812.080579315705</v>
      </c>
      <c r="Z95" s="360">
        <f t="shared" si="20"/>
        <v>43052.092243390354</v>
      </c>
      <c r="AA95" s="443">
        <v>1.0064623958525172</v>
      </c>
    </row>
    <row r="96" spans="1:27" x14ac:dyDescent="0.2">
      <c r="A96" s="154" t="s">
        <v>123</v>
      </c>
      <c r="B96" s="354">
        <v>9933</v>
      </c>
      <c r="C96" s="354">
        <v>9850</v>
      </c>
      <c r="D96" s="354">
        <v>9727</v>
      </c>
      <c r="E96" s="354">
        <v>9689</v>
      </c>
      <c r="F96" s="331">
        <v>9529.1835692242203</v>
      </c>
      <c r="G96" s="336">
        <v>9374.5225071831428</v>
      </c>
      <c r="H96" s="337">
        <v>9226.0478876237084</v>
      </c>
      <c r="I96" s="337">
        <v>9086.8529317867396</v>
      </c>
      <c r="J96" s="337">
        <v>8953.8444184314139</v>
      </c>
      <c r="K96" s="337">
        <v>8822.8980525699681</v>
      </c>
      <c r="L96" s="337">
        <v>8692.982760455463</v>
      </c>
      <c r="M96" s="360">
        <f t="shared" si="11"/>
        <v>8559.3132483270401</v>
      </c>
      <c r="N96" s="360">
        <f t="shared" si="11"/>
        <v>8427.6991340942532</v>
      </c>
      <c r="O96" s="360">
        <f t="shared" si="12"/>
        <v>8298.1088124909365</v>
      </c>
      <c r="Q96" s="266">
        <v>260</v>
      </c>
      <c r="R96" s="266" t="s">
        <v>123</v>
      </c>
      <c r="S96" s="360">
        <f t="shared" si="13"/>
        <v>9689</v>
      </c>
      <c r="T96" s="360">
        <f t="shared" si="14"/>
        <v>9529.1835692242203</v>
      </c>
      <c r="U96" s="360">
        <f t="shared" si="15"/>
        <v>9374.5225071831428</v>
      </c>
      <c r="V96" s="360">
        <f t="shared" si="16"/>
        <v>9226.0478876237084</v>
      </c>
      <c r="W96" s="360">
        <f t="shared" si="17"/>
        <v>9086.8529317867396</v>
      </c>
      <c r="X96" s="360">
        <f t="shared" si="18"/>
        <v>8953.8444184314139</v>
      </c>
      <c r="Y96" s="360">
        <f t="shared" si="19"/>
        <v>8822.8980525699681</v>
      </c>
      <c r="Z96" s="360">
        <f t="shared" si="20"/>
        <v>8692.982760455463</v>
      </c>
      <c r="AA96" s="443">
        <v>0.98462328572230828</v>
      </c>
    </row>
    <row r="97" spans="1:27" x14ac:dyDescent="0.2">
      <c r="A97" s="154" t="s">
        <v>124</v>
      </c>
      <c r="B97" s="354">
        <v>6436</v>
      </c>
      <c r="C97" s="354">
        <v>6378</v>
      </c>
      <c r="D97" s="354">
        <v>6637</v>
      </c>
      <c r="E97" s="354">
        <v>6822</v>
      </c>
      <c r="F97" s="331">
        <v>6808.1816765347467</v>
      </c>
      <c r="G97" s="336">
        <v>6795.4263010283585</v>
      </c>
      <c r="H97" s="337">
        <v>6780.5450296042382</v>
      </c>
      <c r="I97" s="337">
        <v>6765.6637581801187</v>
      </c>
      <c r="J97" s="337">
        <v>6752.9083826737306</v>
      </c>
      <c r="K97" s="337">
        <v>6736.9641632907451</v>
      </c>
      <c r="L97" s="337">
        <v>6724.2087877843569</v>
      </c>
      <c r="M97" s="360">
        <f t="shared" si="11"/>
        <v>6710.3536254307865</v>
      </c>
      <c r="N97" s="360">
        <f t="shared" si="11"/>
        <v>6696.5270114953128</v>
      </c>
      <c r="O97" s="360">
        <f t="shared" si="12"/>
        <v>6682.7288871542169</v>
      </c>
      <c r="Q97" s="266">
        <v>261</v>
      </c>
      <c r="R97" s="266" t="s">
        <v>124</v>
      </c>
      <c r="S97" s="360">
        <f t="shared" si="13"/>
        <v>6822</v>
      </c>
      <c r="T97" s="360">
        <f t="shared" si="14"/>
        <v>6808.1816765347467</v>
      </c>
      <c r="U97" s="360">
        <f t="shared" si="15"/>
        <v>6795.4263010283585</v>
      </c>
      <c r="V97" s="360">
        <f t="shared" si="16"/>
        <v>6780.5450296042382</v>
      </c>
      <c r="W97" s="360">
        <f t="shared" si="17"/>
        <v>6765.6637581801187</v>
      </c>
      <c r="X97" s="360">
        <f t="shared" si="18"/>
        <v>6752.9083826737306</v>
      </c>
      <c r="Y97" s="360">
        <f t="shared" si="19"/>
        <v>6736.9641632907451</v>
      </c>
      <c r="Z97" s="360">
        <f t="shared" si="20"/>
        <v>6724.2087877843569</v>
      </c>
      <c r="AA97" s="443">
        <v>0.99793951038838347</v>
      </c>
    </row>
    <row r="98" spans="1:27" x14ac:dyDescent="0.2">
      <c r="A98" s="154" t="s">
        <v>125</v>
      </c>
      <c r="B98" s="354">
        <v>7854</v>
      </c>
      <c r="C98" s="354">
        <v>7714</v>
      </c>
      <c r="D98" s="354">
        <v>7597</v>
      </c>
      <c r="E98" s="354">
        <v>7475</v>
      </c>
      <c r="F98" s="331">
        <v>7355.60067114094</v>
      </c>
      <c r="G98" s="336">
        <v>7239.2114093959735</v>
      </c>
      <c r="H98" s="337">
        <v>7125.8322147651006</v>
      </c>
      <c r="I98" s="337">
        <v>7017.4697986577175</v>
      </c>
      <c r="J98" s="337">
        <v>6914.1241610738243</v>
      </c>
      <c r="K98" s="337">
        <v>6812.7852348993274</v>
      </c>
      <c r="L98" s="337">
        <v>6717.4664429530194</v>
      </c>
      <c r="M98" s="360">
        <f t="shared" si="11"/>
        <v>6615.7063829670187</v>
      </c>
      <c r="N98" s="360">
        <f t="shared" si="11"/>
        <v>6515.487843120537</v>
      </c>
      <c r="O98" s="360">
        <f t="shared" si="12"/>
        <v>6416.7874715765083</v>
      </c>
      <c r="Q98" s="266">
        <v>263</v>
      </c>
      <c r="R98" s="266" t="s">
        <v>125</v>
      </c>
      <c r="S98" s="360">
        <f t="shared" si="13"/>
        <v>7475</v>
      </c>
      <c r="T98" s="360">
        <f t="shared" si="14"/>
        <v>7355.60067114094</v>
      </c>
      <c r="U98" s="360">
        <f t="shared" si="15"/>
        <v>7239.2114093959735</v>
      </c>
      <c r="V98" s="360">
        <f t="shared" si="16"/>
        <v>7125.8322147651006</v>
      </c>
      <c r="W98" s="360">
        <f t="shared" si="17"/>
        <v>7017.4697986577175</v>
      </c>
      <c r="X98" s="360">
        <f t="shared" si="18"/>
        <v>6914.1241610738243</v>
      </c>
      <c r="Y98" s="360">
        <f t="shared" si="19"/>
        <v>6812.7852348993274</v>
      </c>
      <c r="Z98" s="360">
        <f t="shared" si="20"/>
        <v>6717.4664429530194</v>
      </c>
      <c r="AA98" s="443">
        <v>0.98485142265314141</v>
      </c>
    </row>
    <row r="99" spans="1:27" x14ac:dyDescent="0.2">
      <c r="A99" s="154" t="s">
        <v>126</v>
      </c>
      <c r="B99" s="354">
        <v>1107</v>
      </c>
      <c r="C99" s="354">
        <v>1003</v>
      </c>
      <c r="D99" s="354">
        <v>1064</v>
      </c>
      <c r="E99" s="354">
        <v>1035</v>
      </c>
      <c r="F99" s="331">
        <v>1020.3813559322034</v>
      </c>
      <c r="G99" s="336">
        <v>1005.7627118644068</v>
      </c>
      <c r="H99" s="337">
        <v>991.14406779661022</v>
      </c>
      <c r="I99" s="337">
        <v>977.5</v>
      </c>
      <c r="J99" s="337">
        <v>963.8559322033899</v>
      </c>
      <c r="K99" s="337">
        <v>952.16101694915255</v>
      </c>
      <c r="L99" s="337">
        <v>941.4406779661017</v>
      </c>
      <c r="M99" s="360">
        <f t="shared" si="11"/>
        <v>928.78470893841188</v>
      </c>
      <c r="N99" s="360">
        <f t="shared" si="11"/>
        <v>916.29887654893901</v>
      </c>
      <c r="O99" s="360">
        <f t="shared" si="12"/>
        <v>903.98089361796576</v>
      </c>
      <c r="Q99" s="266">
        <v>265</v>
      </c>
      <c r="R99" s="266" t="s">
        <v>126</v>
      </c>
      <c r="S99" s="360">
        <f t="shared" si="13"/>
        <v>1035</v>
      </c>
      <c r="T99" s="360">
        <f t="shared" si="14"/>
        <v>1020.3813559322034</v>
      </c>
      <c r="U99" s="360">
        <f t="shared" si="15"/>
        <v>1005.7627118644068</v>
      </c>
      <c r="V99" s="360">
        <f t="shared" si="16"/>
        <v>991.14406779661022</v>
      </c>
      <c r="W99" s="360">
        <f t="shared" si="17"/>
        <v>977.5</v>
      </c>
      <c r="X99" s="360">
        <f t="shared" si="18"/>
        <v>963.8559322033899</v>
      </c>
      <c r="Y99" s="360">
        <f t="shared" si="19"/>
        <v>952.16101694915255</v>
      </c>
      <c r="Z99" s="360">
        <f t="shared" si="20"/>
        <v>941.4406779661017</v>
      </c>
      <c r="AA99" s="443">
        <v>0.98655680668586376</v>
      </c>
    </row>
    <row r="100" spans="1:27" x14ac:dyDescent="0.2">
      <c r="A100" s="154" t="s">
        <v>127</v>
      </c>
      <c r="B100" s="354">
        <v>7013</v>
      </c>
      <c r="C100" s="354">
        <v>6930</v>
      </c>
      <c r="D100" s="354">
        <v>6903</v>
      </c>
      <c r="E100" s="354">
        <v>6766</v>
      </c>
      <c r="F100" s="331">
        <v>6680.4054174728381</v>
      </c>
      <c r="G100" s="336">
        <v>6595.8178300342306</v>
      </c>
      <c r="H100" s="337">
        <v>6518.2792082155074</v>
      </c>
      <c r="I100" s="337">
        <v>6446.7825569281131</v>
      </c>
      <c r="J100" s="337">
        <v>6378.3068909063832</v>
      </c>
      <c r="K100" s="337">
        <v>6314.8662003274285</v>
      </c>
      <c r="L100" s="337">
        <v>6255.4534901026927</v>
      </c>
      <c r="M100" s="360">
        <f t="shared" si="11"/>
        <v>6185.7378101520926</v>
      </c>
      <c r="N100" s="360">
        <f t="shared" si="11"/>
        <v>6116.7990964180372</v>
      </c>
      <c r="O100" s="360">
        <f t="shared" si="12"/>
        <v>6048.6286897796208</v>
      </c>
      <c r="Q100" s="266">
        <v>271</v>
      </c>
      <c r="R100" s="266" t="s">
        <v>127</v>
      </c>
      <c r="S100" s="360">
        <f t="shared" si="13"/>
        <v>6766</v>
      </c>
      <c r="T100" s="360">
        <f t="shared" si="14"/>
        <v>6680.4054174728381</v>
      </c>
      <c r="U100" s="360">
        <f t="shared" si="15"/>
        <v>6595.8178300342306</v>
      </c>
      <c r="V100" s="360">
        <f t="shared" si="16"/>
        <v>6518.2792082155074</v>
      </c>
      <c r="W100" s="360">
        <f t="shared" si="17"/>
        <v>6446.7825569281131</v>
      </c>
      <c r="X100" s="360">
        <f t="shared" si="18"/>
        <v>6378.3068909063832</v>
      </c>
      <c r="Y100" s="360">
        <f t="shared" si="19"/>
        <v>6314.8662003274285</v>
      </c>
      <c r="Z100" s="360">
        <f t="shared" si="20"/>
        <v>6255.4534901026927</v>
      </c>
      <c r="AA100" s="443">
        <v>0.98885521568325885</v>
      </c>
    </row>
    <row r="101" spans="1:27" x14ac:dyDescent="0.2">
      <c r="A101" s="154" t="s">
        <v>128</v>
      </c>
      <c r="B101" s="354">
        <v>47772</v>
      </c>
      <c r="C101" s="354">
        <v>47752</v>
      </c>
      <c r="D101" s="354">
        <v>48006</v>
      </c>
      <c r="E101" s="354">
        <v>48295</v>
      </c>
      <c r="F101" s="331">
        <v>48298.02581291899</v>
      </c>
      <c r="G101" s="336">
        <v>48283.905352630369</v>
      </c>
      <c r="H101" s="337">
        <v>48254.655827746799</v>
      </c>
      <c r="I101" s="337">
        <v>48214.311655493599</v>
      </c>
      <c r="J101" s="337">
        <v>48158.83841864545</v>
      </c>
      <c r="K101" s="337">
        <v>48090.253325815007</v>
      </c>
      <c r="L101" s="337">
        <v>48007.547772695951</v>
      </c>
      <c r="M101" s="360">
        <f t="shared" si="11"/>
        <v>47966.631242534822</v>
      </c>
      <c r="N101" s="360">
        <f t="shared" si="11"/>
        <v>47925.749585274272</v>
      </c>
      <c r="O101" s="360">
        <f t="shared" si="12"/>
        <v>47884.902771192348</v>
      </c>
      <c r="Q101" s="266">
        <v>272</v>
      </c>
      <c r="R101" s="266" t="s">
        <v>128</v>
      </c>
      <c r="S101" s="360">
        <f t="shared" si="13"/>
        <v>48295</v>
      </c>
      <c r="T101" s="360">
        <f t="shared" si="14"/>
        <v>48298.02581291899</v>
      </c>
      <c r="U101" s="360">
        <f t="shared" si="15"/>
        <v>48283.905352630369</v>
      </c>
      <c r="V101" s="360">
        <f t="shared" si="16"/>
        <v>48254.655827746799</v>
      </c>
      <c r="W101" s="360">
        <f t="shared" si="17"/>
        <v>48214.311655493599</v>
      </c>
      <c r="X101" s="360">
        <f t="shared" si="18"/>
        <v>48158.83841864545</v>
      </c>
      <c r="Y101" s="360">
        <f t="shared" si="19"/>
        <v>48090.253325815007</v>
      </c>
      <c r="Z101" s="360">
        <f t="shared" si="20"/>
        <v>48007.547772695951</v>
      </c>
      <c r="AA101" s="443">
        <v>0.99914770630745697</v>
      </c>
    </row>
    <row r="102" spans="1:27" x14ac:dyDescent="0.2">
      <c r="A102" s="173" t="s">
        <v>391</v>
      </c>
      <c r="B102" s="174">
        <v>5503664</v>
      </c>
      <c r="C102" s="359">
        <v>5506386</v>
      </c>
      <c r="D102" s="174">
        <v>5533611</v>
      </c>
      <c r="E102" s="174">
        <v>5573310</v>
      </c>
      <c r="F102" s="333">
        <v>5580222.0667452086</v>
      </c>
      <c r="G102" s="336">
        <v>5586609.0237462446</v>
      </c>
      <c r="H102" s="337">
        <v>5592348.2390115652</v>
      </c>
      <c r="I102" s="337">
        <v>5597497.977421998</v>
      </c>
      <c r="J102" s="337">
        <v>5601870.4497533273</v>
      </c>
      <c r="K102" s="337">
        <v>5605567.4949601069</v>
      </c>
      <c r="L102" s="337">
        <v>5608522.5060846703</v>
      </c>
      <c r="M102" s="360">
        <f t="shared" si="11"/>
        <v>5613571.1538956184</v>
      </c>
      <c r="N102" s="360">
        <f t="shared" si="11"/>
        <v>5618624.3463695664</v>
      </c>
      <c r="O102" s="360">
        <f t="shared" si="12"/>
        <v>5623682.0875975043</v>
      </c>
      <c r="R102" s="266" t="s">
        <v>414</v>
      </c>
      <c r="S102" s="360">
        <f t="shared" si="13"/>
        <v>5573310</v>
      </c>
      <c r="T102" s="360">
        <f t="shared" si="14"/>
        <v>5580222.0667452086</v>
      </c>
      <c r="U102" s="360">
        <f t="shared" si="15"/>
        <v>5586609.0237462446</v>
      </c>
      <c r="V102" s="360">
        <f t="shared" si="16"/>
        <v>5592348.2390115652</v>
      </c>
      <c r="W102" s="360">
        <f t="shared" si="17"/>
        <v>5597497.977421998</v>
      </c>
      <c r="X102" s="360">
        <f t="shared" si="18"/>
        <v>5601870.4497533273</v>
      </c>
      <c r="Y102" s="360">
        <f t="shared" si="19"/>
        <v>5605567.4949601069</v>
      </c>
      <c r="Z102" s="360">
        <f t="shared" si="20"/>
        <v>5608522.5060846703</v>
      </c>
      <c r="AA102" s="443">
        <v>1.0009001742982169</v>
      </c>
    </row>
    <row r="103" spans="1:27" x14ac:dyDescent="0.2">
      <c r="A103" s="154" t="s">
        <v>129</v>
      </c>
      <c r="B103" s="354">
        <v>3925</v>
      </c>
      <c r="C103" s="354">
        <v>3776</v>
      </c>
      <c r="D103" s="354">
        <v>3999</v>
      </c>
      <c r="E103" s="354">
        <v>4011</v>
      </c>
      <c r="F103" s="331">
        <v>4018.0883615248672</v>
      </c>
      <c r="G103" s="336">
        <v>4024.1640999747533</v>
      </c>
      <c r="H103" s="337">
        <v>4028.2145922746781</v>
      </c>
      <c r="I103" s="337">
        <v>4027.201969199697</v>
      </c>
      <c r="J103" s="337">
        <v>4027.201969199697</v>
      </c>
      <c r="K103" s="337">
        <v>4028.2145922746786</v>
      </c>
      <c r="L103" s="337">
        <v>4026.1893461247164</v>
      </c>
      <c r="M103" s="360">
        <f t="shared" si="11"/>
        <v>4028.3653103939455</v>
      </c>
      <c r="N103" s="360">
        <f t="shared" si="11"/>
        <v>4030.5424506685968</v>
      </c>
      <c r="O103" s="360">
        <f t="shared" si="12"/>
        <v>4032.7207675842451</v>
      </c>
      <c r="Q103" s="266">
        <v>273</v>
      </c>
      <c r="R103" s="266" t="s">
        <v>129</v>
      </c>
      <c r="S103" s="360">
        <f t="shared" si="13"/>
        <v>4011</v>
      </c>
      <c r="T103" s="360">
        <f t="shared" si="14"/>
        <v>4018.0883615248672</v>
      </c>
      <c r="U103" s="360">
        <f t="shared" si="15"/>
        <v>4024.1640999747533</v>
      </c>
      <c r="V103" s="360">
        <f t="shared" si="16"/>
        <v>4028.2145922746781</v>
      </c>
      <c r="W103" s="360">
        <f t="shared" si="17"/>
        <v>4027.201969199697</v>
      </c>
      <c r="X103" s="360">
        <f t="shared" si="18"/>
        <v>4027.201969199697</v>
      </c>
      <c r="Y103" s="360">
        <f t="shared" si="19"/>
        <v>4028.2145922746786</v>
      </c>
      <c r="Z103" s="360">
        <f t="shared" si="20"/>
        <v>4026.1893461247164</v>
      </c>
      <c r="AA103" s="443">
        <v>1.0005404525426316</v>
      </c>
    </row>
    <row r="104" spans="1:27" x14ac:dyDescent="0.2">
      <c r="A104" s="154" t="s">
        <v>130</v>
      </c>
      <c r="B104" s="354">
        <v>2593</v>
      </c>
      <c r="C104" s="354">
        <v>2605</v>
      </c>
      <c r="D104" s="354">
        <v>2521</v>
      </c>
      <c r="E104" s="354">
        <v>2499</v>
      </c>
      <c r="F104" s="331">
        <v>2464.7946859903382</v>
      </c>
      <c r="G104" s="336">
        <v>2433.6074879227053</v>
      </c>
      <c r="H104" s="337">
        <v>2404.4323671497586</v>
      </c>
      <c r="I104" s="337">
        <v>2374.2512077294687</v>
      </c>
      <c r="J104" s="337">
        <v>2345.076086956522</v>
      </c>
      <c r="K104" s="337">
        <v>2318.9190821256043</v>
      </c>
      <c r="L104" s="337">
        <v>2292.7620772946866</v>
      </c>
      <c r="M104" s="360">
        <f t="shared" si="11"/>
        <v>2264.7237715107722</v>
      </c>
      <c r="N104" s="360">
        <f t="shared" si="11"/>
        <v>2237.0283476154832</v>
      </c>
      <c r="O104" s="360">
        <f t="shared" si="12"/>
        <v>2209.6716124885065</v>
      </c>
      <c r="Q104" s="266">
        <v>275</v>
      </c>
      <c r="R104" s="266" t="s">
        <v>130</v>
      </c>
      <c r="S104" s="360">
        <f t="shared" si="13"/>
        <v>2499</v>
      </c>
      <c r="T104" s="360">
        <f t="shared" si="14"/>
        <v>2464.7946859903382</v>
      </c>
      <c r="U104" s="360">
        <f t="shared" si="15"/>
        <v>2433.6074879227053</v>
      </c>
      <c r="V104" s="360">
        <f t="shared" si="16"/>
        <v>2404.4323671497586</v>
      </c>
      <c r="W104" s="360">
        <f t="shared" si="17"/>
        <v>2374.2512077294687</v>
      </c>
      <c r="X104" s="360">
        <f t="shared" si="18"/>
        <v>2345.076086956522</v>
      </c>
      <c r="Y104" s="360">
        <f t="shared" si="19"/>
        <v>2318.9190821256043</v>
      </c>
      <c r="Z104" s="360">
        <f t="shared" si="20"/>
        <v>2292.7620772946866</v>
      </c>
      <c r="AA104" s="443">
        <v>0.98777094838510326</v>
      </c>
    </row>
    <row r="105" spans="1:27" x14ac:dyDescent="0.2">
      <c r="A105" s="154" t="s">
        <v>131</v>
      </c>
      <c r="B105" s="354">
        <v>14857</v>
      </c>
      <c r="C105" s="354">
        <v>15020</v>
      </c>
      <c r="D105" s="354">
        <v>15157</v>
      </c>
      <c r="E105" s="354">
        <v>15136</v>
      </c>
      <c r="F105" s="331">
        <v>15145.118072289157</v>
      </c>
      <c r="G105" s="336">
        <v>15142.078714859439</v>
      </c>
      <c r="H105" s="337">
        <v>15127.895046854084</v>
      </c>
      <c r="I105" s="337">
        <v>15106.619544846051</v>
      </c>
      <c r="J105" s="337">
        <v>15077.239089692102</v>
      </c>
      <c r="K105" s="337">
        <v>15043.806157965195</v>
      </c>
      <c r="L105" s="337">
        <v>15003.281392235609</v>
      </c>
      <c r="M105" s="360">
        <f t="shared" si="11"/>
        <v>14984.425579775596</v>
      </c>
      <c r="N105" s="360">
        <f t="shared" si="11"/>
        <v>14965.593464909078</v>
      </c>
      <c r="O105" s="360">
        <f t="shared" si="12"/>
        <v>14946.785017853412</v>
      </c>
      <c r="Q105" s="266">
        <v>276</v>
      </c>
      <c r="R105" s="266" t="s">
        <v>131</v>
      </c>
      <c r="S105" s="360">
        <f t="shared" si="13"/>
        <v>15136</v>
      </c>
      <c r="T105" s="360">
        <f t="shared" si="14"/>
        <v>15145.118072289157</v>
      </c>
      <c r="U105" s="360">
        <f t="shared" si="15"/>
        <v>15142.078714859439</v>
      </c>
      <c r="V105" s="360">
        <f t="shared" si="16"/>
        <v>15127.895046854084</v>
      </c>
      <c r="W105" s="360">
        <f t="shared" si="17"/>
        <v>15106.619544846051</v>
      </c>
      <c r="X105" s="360">
        <f t="shared" si="18"/>
        <v>15077.239089692102</v>
      </c>
      <c r="Y105" s="360">
        <f t="shared" si="19"/>
        <v>15043.806157965195</v>
      </c>
      <c r="Z105" s="360">
        <f t="shared" si="20"/>
        <v>15003.281392235609</v>
      </c>
      <c r="AA105" s="443">
        <v>0.9987432207683733</v>
      </c>
    </row>
    <row r="106" spans="1:27" x14ac:dyDescent="0.2">
      <c r="A106" s="154" t="s">
        <v>132</v>
      </c>
      <c r="B106" s="354">
        <v>2068</v>
      </c>
      <c r="C106" s="354">
        <v>2069</v>
      </c>
      <c r="D106" s="354">
        <v>2024</v>
      </c>
      <c r="E106" s="354">
        <v>2015</v>
      </c>
      <c r="F106" s="331">
        <v>2003.0710409472126</v>
      </c>
      <c r="G106" s="336">
        <v>1993.1302417365564</v>
      </c>
      <c r="H106" s="337">
        <v>1983.1894425259002</v>
      </c>
      <c r="I106" s="337">
        <v>1970.2664035520472</v>
      </c>
      <c r="J106" s="337">
        <v>1959.3315244203254</v>
      </c>
      <c r="K106" s="337">
        <v>1947.402565367538</v>
      </c>
      <c r="L106" s="337">
        <v>1936.4676862358165</v>
      </c>
      <c r="M106" s="360">
        <f t="shared" si="11"/>
        <v>1925.501741014986</v>
      </c>
      <c r="N106" s="360">
        <f t="shared" si="11"/>
        <v>1914.5978944056847</v>
      </c>
      <c r="O106" s="360">
        <f t="shared" si="12"/>
        <v>1903.755794752175</v>
      </c>
      <c r="Q106" s="266">
        <v>280</v>
      </c>
      <c r="R106" s="266" t="s">
        <v>132</v>
      </c>
      <c r="S106" s="360">
        <f t="shared" si="13"/>
        <v>2015</v>
      </c>
      <c r="T106" s="360">
        <f t="shared" si="14"/>
        <v>2003.0710409472126</v>
      </c>
      <c r="U106" s="360">
        <f t="shared" si="15"/>
        <v>1993.1302417365564</v>
      </c>
      <c r="V106" s="360">
        <f t="shared" si="16"/>
        <v>1983.1894425259002</v>
      </c>
      <c r="W106" s="360">
        <f t="shared" si="17"/>
        <v>1970.2664035520472</v>
      </c>
      <c r="X106" s="360">
        <f t="shared" si="18"/>
        <v>1959.3315244203254</v>
      </c>
      <c r="Y106" s="360">
        <f t="shared" si="19"/>
        <v>1947.402565367538</v>
      </c>
      <c r="Z106" s="360">
        <f t="shared" si="20"/>
        <v>1936.4676862358165</v>
      </c>
      <c r="AA106" s="443">
        <v>0.99433714009339014</v>
      </c>
    </row>
    <row r="107" spans="1:27" x14ac:dyDescent="0.2">
      <c r="A107" s="154" t="s">
        <v>319</v>
      </c>
      <c r="B107" s="354">
        <v>2292</v>
      </c>
      <c r="C107" s="354">
        <v>2277</v>
      </c>
      <c r="D107" s="354">
        <v>2227</v>
      </c>
      <c r="E107" s="354">
        <v>2207</v>
      </c>
      <c r="F107" s="331">
        <v>2188.0857013982859</v>
      </c>
      <c r="G107" s="336">
        <v>2167.1804239963913</v>
      </c>
      <c r="H107" s="337">
        <v>2147.2706359945869</v>
      </c>
      <c r="I107" s="337">
        <v>2129.351826792963</v>
      </c>
      <c r="J107" s="337">
        <v>2108.4465493910689</v>
      </c>
      <c r="K107" s="337">
        <v>2090.527740189445</v>
      </c>
      <c r="L107" s="337">
        <v>2073.6044203879114</v>
      </c>
      <c r="M107" s="360">
        <f t="shared" si="11"/>
        <v>2055.21816946946</v>
      </c>
      <c r="N107" s="360">
        <f t="shared" si="11"/>
        <v>2036.9949458958156</v>
      </c>
      <c r="O107" s="360">
        <f t="shared" si="12"/>
        <v>2018.9333041349189</v>
      </c>
      <c r="Q107" s="266">
        <v>284</v>
      </c>
      <c r="R107" s="266" t="s">
        <v>415</v>
      </c>
      <c r="S107" s="360">
        <f t="shared" si="13"/>
        <v>2207</v>
      </c>
      <c r="T107" s="360">
        <f t="shared" si="14"/>
        <v>2188.0857013982859</v>
      </c>
      <c r="U107" s="360">
        <f t="shared" si="15"/>
        <v>2167.1804239963913</v>
      </c>
      <c r="V107" s="360">
        <f t="shared" si="16"/>
        <v>2147.2706359945869</v>
      </c>
      <c r="W107" s="360">
        <f t="shared" si="17"/>
        <v>2129.351826792963</v>
      </c>
      <c r="X107" s="360">
        <f t="shared" si="18"/>
        <v>2108.4465493910689</v>
      </c>
      <c r="Y107" s="360">
        <f t="shared" si="19"/>
        <v>2090.527740189445</v>
      </c>
      <c r="Z107" s="360">
        <f t="shared" si="20"/>
        <v>2073.6044203879114</v>
      </c>
      <c r="AA107" s="443">
        <v>0.99113319264866728</v>
      </c>
    </row>
    <row r="108" spans="1:27" x14ac:dyDescent="0.2">
      <c r="A108" s="154" t="s">
        <v>134</v>
      </c>
      <c r="B108" s="354">
        <v>51668</v>
      </c>
      <c r="C108" s="354">
        <v>51584</v>
      </c>
      <c r="D108" s="354">
        <v>50617</v>
      </c>
      <c r="E108" s="354">
        <v>50500</v>
      </c>
      <c r="F108" s="331">
        <v>50046.936542669588</v>
      </c>
      <c r="G108" s="336">
        <v>49613.964591207485</v>
      </c>
      <c r="H108" s="337">
        <v>49198.070419733442</v>
      </c>
      <c r="I108" s="337">
        <v>48792.222001193557</v>
      </c>
      <c r="J108" s="337">
        <v>48395.414760294414</v>
      </c>
      <c r="K108" s="337">
        <v>48005.63954644918</v>
      </c>
      <c r="L108" s="337">
        <v>47627.91923612493</v>
      </c>
      <c r="M108" s="360">
        <f t="shared" si="11"/>
        <v>47231.181660661437</v>
      </c>
      <c r="N108" s="360">
        <f t="shared" si="11"/>
        <v>46837.74888428027</v>
      </c>
      <c r="O108" s="360">
        <f t="shared" si="12"/>
        <v>46447.593378212667</v>
      </c>
      <c r="Q108" s="266">
        <v>285</v>
      </c>
      <c r="R108" s="266" t="s">
        <v>134</v>
      </c>
      <c r="S108" s="360">
        <f t="shared" si="13"/>
        <v>50500</v>
      </c>
      <c r="T108" s="360">
        <f t="shared" si="14"/>
        <v>50046.936542669588</v>
      </c>
      <c r="U108" s="360">
        <f t="shared" si="15"/>
        <v>49613.964591207485</v>
      </c>
      <c r="V108" s="360">
        <f t="shared" si="16"/>
        <v>49198.070419733442</v>
      </c>
      <c r="W108" s="360">
        <f t="shared" si="17"/>
        <v>48792.222001193557</v>
      </c>
      <c r="X108" s="360">
        <f t="shared" si="18"/>
        <v>48395.414760294414</v>
      </c>
      <c r="Y108" s="360">
        <f t="shared" si="19"/>
        <v>48005.63954644918</v>
      </c>
      <c r="Z108" s="360">
        <f t="shared" si="20"/>
        <v>47627.91923612493</v>
      </c>
      <c r="AA108" s="443">
        <v>0.99167006281553916</v>
      </c>
    </row>
    <row r="109" spans="1:27" x14ac:dyDescent="0.2">
      <c r="A109" s="154" t="s">
        <v>135</v>
      </c>
      <c r="B109" s="354">
        <v>81187</v>
      </c>
      <c r="C109" s="354">
        <v>80732</v>
      </c>
      <c r="D109" s="354">
        <v>79429</v>
      </c>
      <c r="E109" s="354">
        <v>78880</v>
      </c>
      <c r="F109" s="331">
        <v>78085.277160172278</v>
      </c>
      <c r="G109" s="336">
        <v>77312.602116657552</v>
      </c>
      <c r="H109" s="337">
        <v>76556.964006657421</v>
      </c>
      <c r="I109" s="337">
        <v>75823.373692970301</v>
      </c>
      <c r="J109" s="337">
        <v>75114.837693275214</v>
      </c>
      <c r="K109" s="337">
        <v>74418.327764296322</v>
      </c>
      <c r="L109" s="337">
        <v>73736.850423712647</v>
      </c>
      <c r="M109" s="360">
        <f t="shared" si="11"/>
        <v>73030.019637213234</v>
      </c>
      <c r="N109" s="360">
        <f t="shared" si="11"/>
        <v>72329.964428432053</v>
      </c>
      <c r="O109" s="360">
        <f t="shared" si="12"/>
        <v>71636.619847660782</v>
      </c>
      <c r="Q109" s="266">
        <v>286</v>
      </c>
      <c r="R109" s="266" t="s">
        <v>135</v>
      </c>
      <c r="S109" s="360">
        <f t="shared" si="13"/>
        <v>78880</v>
      </c>
      <c r="T109" s="360">
        <f t="shared" si="14"/>
        <v>78085.277160172278</v>
      </c>
      <c r="U109" s="360">
        <f t="shared" si="15"/>
        <v>77312.602116657552</v>
      </c>
      <c r="V109" s="360">
        <f t="shared" si="16"/>
        <v>76556.964006657421</v>
      </c>
      <c r="W109" s="360">
        <f t="shared" si="17"/>
        <v>75823.373692970301</v>
      </c>
      <c r="X109" s="360">
        <f t="shared" si="18"/>
        <v>75114.837693275214</v>
      </c>
      <c r="Y109" s="360">
        <f t="shared" si="19"/>
        <v>74418.327764296322</v>
      </c>
      <c r="Z109" s="360">
        <f t="shared" si="20"/>
        <v>73736.850423712647</v>
      </c>
      <c r="AA109" s="443">
        <v>0.99041414459069288</v>
      </c>
    </row>
    <row r="110" spans="1:27" x14ac:dyDescent="0.2">
      <c r="A110" s="154" t="s">
        <v>320</v>
      </c>
      <c r="B110" s="354">
        <v>6404</v>
      </c>
      <c r="C110" s="354">
        <v>6354</v>
      </c>
      <c r="D110" s="354">
        <v>6242</v>
      </c>
      <c r="E110" s="354">
        <v>6199</v>
      </c>
      <c r="F110" s="331">
        <v>6129.7654580770477</v>
      </c>
      <c r="G110" s="336">
        <v>6067.5547102622213</v>
      </c>
      <c r="H110" s="337">
        <v>6008.3541599223054</v>
      </c>
      <c r="I110" s="337">
        <v>5951.1604078989967</v>
      </c>
      <c r="J110" s="337">
        <v>5893.966655875688</v>
      </c>
      <c r="K110" s="337">
        <v>5836.7729038523794</v>
      </c>
      <c r="L110" s="337">
        <v>5781.585950145678</v>
      </c>
      <c r="M110" s="360">
        <f t="shared" si="11"/>
        <v>5724.2962878234412</v>
      </c>
      <c r="N110" s="360">
        <f t="shared" si="11"/>
        <v>5667.5743080432094</v>
      </c>
      <c r="O110" s="360">
        <f t="shared" si="12"/>
        <v>5611.4143856458268</v>
      </c>
      <c r="Q110" s="266">
        <v>287</v>
      </c>
      <c r="R110" s="266" t="s">
        <v>320</v>
      </c>
      <c r="S110" s="360">
        <f t="shared" si="13"/>
        <v>6199</v>
      </c>
      <c r="T110" s="360">
        <f t="shared" si="14"/>
        <v>6129.7654580770477</v>
      </c>
      <c r="U110" s="360">
        <f t="shared" si="15"/>
        <v>6067.5547102622213</v>
      </c>
      <c r="V110" s="360">
        <f t="shared" si="16"/>
        <v>6008.3541599223054</v>
      </c>
      <c r="W110" s="360">
        <f t="shared" si="17"/>
        <v>5951.1604078989967</v>
      </c>
      <c r="X110" s="360">
        <f t="shared" si="18"/>
        <v>5893.966655875688</v>
      </c>
      <c r="Y110" s="360">
        <f t="shared" si="19"/>
        <v>5836.7729038523794</v>
      </c>
      <c r="Z110" s="360">
        <f t="shared" si="20"/>
        <v>5781.585950145678</v>
      </c>
      <c r="AA110" s="443">
        <v>0.99009101260169052</v>
      </c>
    </row>
    <row r="111" spans="1:27" x14ac:dyDescent="0.2">
      <c r="A111" s="154" t="s">
        <v>136</v>
      </c>
      <c r="B111" s="354">
        <v>6416</v>
      </c>
      <c r="C111" s="354">
        <v>6390</v>
      </c>
      <c r="D111" s="354">
        <v>6405</v>
      </c>
      <c r="E111" s="354">
        <v>6368</v>
      </c>
      <c r="F111" s="331">
        <v>6319.2653061224491</v>
      </c>
      <c r="G111" s="336">
        <v>6271.5459183673474</v>
      </c>
      <c r="H111" s="337">
        <v>6224.841836734694</v>
      </c>
      <c r="I111" s="337">
        <v>6177.1224489795923</v>
      </c>
      <c r="J111" s="337">
        <v>6128.3877551020414</v>
      </c>
      <c r="K111" s="337">
        <v>6081.6836734693879</v>
      </c>
      <c r="L111" s="337">
        <v>6033.9642857142862</v>
      </c>
      <c r="M111" s="360">
        <f t="shared" si="11"/>
        <v>5987.6973010901856</v>
      </c>
      <c r="N111" s="360">
        <f t="shared" si="11"/>
        <v>5941.7850805589505</v>
      </c>
      <c r="O111" s="360">
        <f t="shared" si="12"/>
        <v>5896.2249038749769</v>
      </c>
      <c r="Q111" s="266">
        <v>288</v>
      </c>
      <c r="R111" s="266" t="s">
        <v>136</v>
      </c>
      <c r="S111" s="360">
        <f t="shared" si="13"/>
        <v>6368</v>
      </c>
      <c r="T111" s="360">
        <f t="shared" si="14"/>
        <v>6319.2653061224491</v>
      </c>
      <c r="U111" s="360">
        <f t="shared" si="15"/>
        <v>6271.5459183673474</v>
      </c>
      <c r="V111" s="360">
        <f t="shared" si="16"/>
        <v>6224.841836734694</v>
      </c>
      <c r="W111" s="360">
        <f t="shared" si="17"/>
        <v>6177.1224489795923</v>
      </c>
      <c r="X111" s="360">
        <f t="shared" si="18"/>
        <v>6128.3877551020414</v>
      </c>
      <c r="Y111" s="360">
        <f t="shared" si="19"/>
        <v>6081.6836734693879</v>
      </c>
      <c r="Z111" s="360">
        <f t="shared" si="20"/>
        <v>6033.9642857142862</v>
      </c>
      <c r="AA111" s="443">
        <v>0.99233224088951932</v>
      </c>
    </row>
    <row r="112" spans="1:27" x14ac:dyDescent="0.2">
      <c r="A112" s="154" t="s">
        <v>137</v>
      </c>
      <c r="B112" s="354">
        <v>8042</v>
      </c>
      <c r="C112" s="354">
        <v>7885</v>
      </c>
      <c r="D112" s="354">
        <v>7755</v>
      </c>
      <c r="E112" s="354">
        <v>7582</v>
      </c>
      <c r="F112" s="331">
        <v>7446.553789570472</v>
      </c>
      <c r="G112" s="336">
        <v>7317.0831472481286</v>
      </c>
      <c r="H112" s="337">
        <v>7187.6125049257853</v>
      </c>
      <c r="I112" s="337">
        <v>7061.1296466570348</v>
      </c>
      <c r="J112" s="337">
        <v>6938.6305004597407</v>
      </c>
      <c r="K112" s="337">
        <v>6822.1069223696322</v>
      </c>
      <c r="L112" s="337">
        <v>6710.5629843688439</v>
      </c>
      <c r="M112" s="360">
        <f t="shared" si="11"/>
        <v>6594.5328768016307</v>
      </c>
      <c r="N112" s="360">
        <f t="shared" si="11"/>
        <v>6480.5090071452187</v>
      </c>
      <c r="O112" s="360">
        <f t="shared" si="12"/>
        <v>6368.4566862086795</v>
      </c>
      <c r="Q112" s="266">
        <v>290</v>
      </c>
      <c r="R112" s="266" t="s">
        <v>137</v>
      </c>
      <c r="S112" s="360">
        <f t="shared" si="13"/>
        <v>7582</v>
      </c>
      <c r="T112" s="360">
        <f t="shared" si="14"/>
        <v>7446.553789570472</v>
      </c>
      <c r="U112" s="360">
        <f t="shared" si="15"/>
        <v>7317.0831472481286</v>
      </c>
      <c r="V112" s="360">
        <f t="shared" si="16"/>
        <v>7187.6125049257853</v>
      </c>
      <c r="W112" s="360">
        <f t="shared" si="17"/>
        <v>7061.1296466570348</v>
      </c>
      <c r="X112" s="360">
        <f t="shared" si="18"/>
        <v>6938.6305004597407</v>
      </c>
      <c r="Y112" s="360">
        <f t="shared" si="19"/>
        <v>6822.1069223696322</v>
      </c>
      <c r="Z112" s="360">
        <f t="shared" si="20"/>
        <v>6710.5629843688439</v>
      </c>
      <c r="AA112" s="443">
        <v>0.98270933335437183</v>
      </c>
    </row>
    <row r="113" spans="1:29" x14ac:dyDescent="0.2">
      <c r="A113" s="154" t="s">
        <v>138</v>
      </c>
      <c r="B113" s="354">
        <v>2161</v>
      </c>
      <c r="C113" s="354">
        <v>2137</v>
      </c>
      <c r="D113" s="354">
        <v>2119</v>
      </c>
      <c r="E113" s="354">
        <v>2092</v>
      </c>
      <c r="F113" s="331">
        <v>2065.6982591876208</v>
      </c>
      <c r="G113" s="336">
        <v>2038.3849129593809</v>
      </c>
      <c r="H113" s="337">
        <v>2012.0831721470017</v>
      </c>
      <c r="I113" s="337">
        <v>1989.8278529980657</v>
      </c>
      <c r="J113" s="337">
        <v>1968.5841392649904</v>
      </c>
      <c r="K113" s="337">
        <v>1947.3404255319149</v>
      </c>
      <c r="L113" s="337">
        <v>1927.1083172147003</v>
      </c>
      <c r="M113" s="360">
        <f t="shared" si="11"/>
        <v>1904.639319150185</v>
      </c>
      <c r="N113" s="360">
        <f t="shared" si="11"/>
        <v>1882.4322969536131</v>
      </c>
      <c r="O113" s="360">
        <f t="shared" si="12"/>
        <v>1860.4841961338502</v>
      </c>
      <c r="Q113" s="266">
        <v>291</v>
      </c>
      <c r="R113" s="266" t="s">
        <v>138</v>
      </c>
      <c r="S113" s="360">
        <f t="shared" si="13"/>
        <v>2092</v>
      </c>
      <c r="T113" s="360">
        <f t="shared" si="14"/>
        <v>2065.6982591876208</v>
      </c>
      <c r="U113" s="360">
        <f t="shared" si="15"/>
        <v>2038.3849129593809</v>
      </c>
      <c r="V113" s="360">
        <f t="shared" si="16"/>
        <v>2012.0831721470017</v>
      </c>
      <c r="W113" s="360">
        <f t="shared" si="17"/>
        <v>1989.8278529980657</v>
      </c>
      <c r="X113" s="360">
        <f t="shared" si="18"/>
        <v>1968.5841392649904</v>
      </c>
      <c r="Y113" s="360">
        <f t="shared" si="19"/>
        <v>1947.3404255319149</v>
      </c>
      <c r="Z113" s="360">
        <f t="shared" si="20"/>
        <v>1927.1083172147003</v>
      </c>
      <c r="AA113" s="443">
        <v>0.98834056297520922</v>
      </c>
    </row>
    <row r="114" spans="1:29" s="274" customFormat="1" x14ac:dyDescent="0.2">
      <c r="A114" s="271" t="s">
        <v>139</v>
      </c>
      <c r="B114" s="335">
        <v>120210</v>
      </c>
      <c r="C114" s="335">
        <v>119862</v>
      </c>
      <c r="D114" s="335">
        <v>122594</v>
      </c>
      <c r="E114" s="335">
        <v>124021</v>
      </c>
      <c r="F114" s="332">
        <v>124576.0331926104</v>
      </c>
      <c r="G114" s="336">
        <v>125095.55237838102</v>
      </c>
      <c r="H114" s="337">
        <v>125586.66035867982</v>
      </c>
      <c r="I114" s="337">
        <v>126049.35713350678</v>
      </c>
      <c r="J114" s="337">
        <v>126481.61333104251</v>
      </c>
      <c r="K114" s="337">
        <v>126875.3114640093</v>
      </c>
      <c r="L114" s="337">
        <v>127224.36341694892</v>
      </c>
      <c r="M114" s="360">
        <f t="shared" si="11"/>
        <v>127688.71150769378</v>
      </c>
      <c r="N114" s="360">
        <f t="shared" si="11"/>
        <v>128154.75439292286</v>
      </c>
      <c r="O114" s="360">
        <f t="shared" si="12"/>
        <v>128622.49825835848</v>
      </c>
      <c r="P114" s="266"/>
      <c r="Q114" s="266">
        <v>297</v>
      </c>
      <c r="R114" s="266" t="s">
        <v>139</v>
      </c>
      <c r="S114" s="360">
        <f t="shared" si="13"/>
        <v>124021</v>
      </c>
      <c r="T114" s="360">
        <f t="shared" si="14"/>
        <v>124576.0331926104</v>
      </c>
      <c r="U114" s="360">
        <f t="shared" si="15"/>
        <v>125095.55237838102</v>
      </c>
      <c r="V114" s="360">
        <f t="shared" si="16"/>
        <v>125586.66035867982</v>
      </c>
      <c r="W114" s="360">
        <f t="shared" si="17"/>
        <v>126049.35713350678</v>
      </c>
      <c r="X114" s="360">
        <f t="shared" si="18"/>
        <v>126481.61333104251</v>
      </c>
      <c r="Y114" s="360">
        <f t="shared" si="19"/>
        <v>126875.3114640093</v>
      </c>
      <c r="Z114" s="360">
        <f t="shared" si="20"/>
        <v>127224.36341694892</v>
      </c>
      <c r="AA114" s="443">
        <v>1.0036498362284829</v>
      </c>
      <c r="AB114" s="360"/>
      <c r="AC114" s="360"/>
    </row>
    <row r="115" spans="1:29" x14ac:dyDescent="0.2">
      <c r="A115" s="154" t="s">
        <v>140</v>
      </c>
      <c r="B115" s="354">
        <v>3534</v>
      </c>
      <c r="C115" s="354">
        <v>3432</v>
      </c>
      <c r="D115" s="354">
        <v>3437</v>
      </c>
      <c r="E115" s="354">
        <v>3381</v>
      </c>
      <c r="F115" s="331">
        <v>3345.4417177914111</v>
      </c>
      <c r="G115" s="336">
        <v>3312.8466257668711</v>
      </c>
      <c r="H115" s="337">
        <v>3278.2760736196319</v>
      </c>
      <c r="I115" s="337">
        <v>3246.6687116564417</v>
      </c>
      <c r="J115" s="337">
        <v>3217.0368098159511</v>
      </c>
      <c r="K115" s="337">
        <v>3189.3803680981596</v>
      </c>
      <c r="L115" s="337">
        <v>3164.6871165644175</v>
      </c>
      <c r="M115" s="360">
        <f t="shared" si="11"/>
        <v>3134.937677880218</v>
      </c>
      <c r="N115" s="360">
        <f t="shared" si="11"/>
        <v>3105.4678968902635</v>
      </c>
      <c r="O115" s="360">
        <f t="shared" si="12"/>
        <v>3076.2751446902985</v>
      </c>
      <c r="Q115" s="266">
        <v>300</v>
      </c>
      <c r="R115" s="266" t="s">
        <v>140</v>
      </c>
      <c r="S115" s="360">
        <f t="shared" si="13"/>
        <v>3381</v>
      </c>
      <c r="T115" s="360">
        <f t="shared" si="14"/>
        <v>3345.4417177914111</v>
      </c>
      <c r="U115" s="360">
        <f t="shared" si="15"/>
        <v>3312.8466257668711</v>
      </c>
      <c r="V115" s="360">
        <f t="shared" si="16"/>
        <v>3278.2760736196319</v>
      </c>
      <c r="W115" s="360">
        <f t="shared" si="17"/>
        <v>3246.6687116564417</v>
      </c>
      <c r="X115" s="360">
        <f t="shared" si="18"/>
        <v>3217.0368098159511</v>
      </c>
      <c r="Y115" s="360">
        <f t="shared" si="19"/>
        <v>3189.3803680981596</v>
      </c>
      <c r="Z115" s="360">
        <f t="shared" si="20"/>
        <v>3164.6871165644175</v>
      </c>
      <c r="AA115" s="443">
        <v>0.9905995640047679</v>
      </c>
    </row>
    <row r="116" spans="1:29" x14ac:dyDescent="0.2">
      <c r="A116" s="154" t="s">
        <v>141</v>
      </c>
      <c r="B116" s="354">
        <v>20456</v>
      </c>
      <c r="C116" s="354">
        <v>20125</v>
      </c>
      <c r="D116" s="354">
        <v>19890</v>
      </c>
      <c r="E116" s="354">
        <v>19759</v>
      </c>
      <c r="F116" s="331">
        <v>19527.613555713273</v>
      </c>
      <c r="G116" s="331">
        <v>19301.235476021495</v>
      </c>
      <c r="H116" s="331">
        <v>19080.867433843658</v>
      </c>
      <c r="I116" s="331">
        <v>18865.507756260769</v>
      </c>
      <c r="J116" s="337">
        <v>18653.153097434853</v>
      </c>
      <c r="K116" s="337">
        <v>18440.798438608941</v>
      </c>
      <c r="L116" s="337">
        <v>18233.452144377978</v>
      </c>
      <c r="M116" s="360">
        <f t="shared" si="11"/>
        <v>18025.352074710467</v>
      </c>
      <c r="N116" s="360">
        <f t="shared" si="11"/>
        <v>17819.62707031599</v>
      </c>
      <c r="O116" s="360">
        <f t="shared" si="12"/>
        <v>17616.250024355704</v>
      </c>
      <c r="Q116" s="266">
        <v>301</v>
      </c>
      <c r="R116" s="266" t="s">
        <v>141</v>
      </c>
      <c r="S116" s="360">
        <f t="shared" si="13"/>
        <v>19759</v>
      </c>
      <c r="T116" s="360">
        <f t="shared" si="14"/>
        <v>19527.613555713273</v>
      </c>
      <c r="U116" s="360">
        <f t="shared" si="15"/>
        <v>19301.235476021495</v>
      </c>
      <c r="V116" s="360">
        <f t="shared" si="16"/>
        <v>19080.867433843658</v>
      </c>
      <c r="W116" s="360">
        <f t="shared" si="17"/>
        <v>18865.507756260769</v>
      </c>
      <c r="X116" s="360">
        <f t="shared" si="18"/>
        <v>18653.153097434853</v>
      </c>
      <c r="Y116" s="360">
        <f t="shared" si="19"/>
        <v>18440.798438608941</v>
      </c>
      <c r="Z116" s="360">
        <f t="shared" si="20"/>
        <v>18233.452144377978</v>
      </c>
      <c r="AA116" s="443">
        <v>0.98858690784280934</v>
      </c>
    </row>
    <row r="117" spans="1:29" x14ac:dyDescent="0.2">
      <c r="A117" s="154" t="s">
        <v>142</v>
      </c>
      <c r="B117" s="354">
        <v>962</v>
      </c>
      <c r="C117" s="354">
        <v>956</v>
      </c>
      <c r="D117" s="354">
        <v>950</v>
      </c>
      <c r="E117" s="354">
        <v>949</v>
      </c>
      <c r="F117" s="331">
        <v>962.14144411473785</v>
      </c>
      <c r="G117" s="336">
        <v>973.40553907022752</v>
      </c>
      <c r="H117" s="337">
        <v>985.60830860534134</v>
      </c>
      <c r="I117" s="337">
        <v>998.7497527200793</v>
      </c>
      <c r="J117" s="337">
        <v>1009.0751730959449</v>
      </c>
      <c r="K117" s="337">
        <v>1019.4005934718103</v>
      </c>
      <c r="L117" s="337">
        <v>1030.6646884273</v>
      </c>
      <c r="M117" s="360">
        <f t="shared" si="11"/>
        <v>1042.8920696189825</v>
      </c>
      <c r="N117" s="360">
        <f t="shared" si="11"/>
        <v>1055.2645114229917</v>
      </c>
      <c r="O117" s="360">
        <f t="shared" si="12"/>
        <v>1067.7837347786619</v>
      </c>
      <c r="Q117" s="266">
        <v>304</v>
      </c>
      <c r="R117" s="266" t="s">
        <v>142</v>
      </c>
      <c r="S117" s="360">
        <f t="shared" si="13"/>
        <v>949</v>
      </c>
      <c r="T117" s="360">
        <f t="shared" si="14"/>
        <v>962.14144411473785</v>
      </c>
      <c r="U117" s="360">
        <f t="shared" si="15"/>
        <v>973.40553907022752</v>
      </c>
      <c r="V117" s="360">
        <f t="shared" si="16"/>
        <v>985.60830860534134</v>
      </c>
      <c r="W117" s="360">
        <f t="shared" si="17"/>
        <v>998.7497527200793</v>
      </c>
      <c r="X117" s="360">
        <f t="shared" si="18"/>
        <v>1009.0751730959449</v>
      </c>
      <c r="Y117" s="360">
        <f t="shared" si="19"/>
        <v>1019.4005934718103</v>
      </c>
      <c r="Z117" s="360">
        <f t="shared" si="20"/>
        <v>1030.6646884273</v>
      </c>
      <c r="AA117" s="443">
        <v>1.0118635879631623</v>
      </c>
    </row>
    <row r="118" spans="1:29" x14ac:dyDescent="0.2">
      <c r="A118" s="154" t="s">
        <v>143</v>
      </c>
      <c r="B118" s="354">
        <v>15213</v>
      </c>
      <c r="C118" s="354">
        <v>14675</v>
      </c>
      <c r="D118" s="354">
        <v>15146</v>
      </c>
      <c r="E118" s="354">
        <v>15019</v>
      </c>
      <c r="F118" s="331">
        <v>14913.026275115919</v>
      </c>
      <c r="G118" s="336">
        <v>14809.071097372487</v>
      </c>
      <c r="H118" s="337">
        <v>14709.153013910354</v>
      </c>
      <c r="I118" s="337">
        <v>14608.225656877896</v>
      </c>
      <c r="J118" s="337">
        <v>14507.298299845439</v>
      </c>
      <c r="K118" s="337">
        <v>14407.380216383306</v>
      </c>
      <c r="L118" s="337">
        <v>14309.480680061821</v>
      </c>
      <c r="M118" s="360">
        <f t="shared" si="11"/>
        <v>14210.894830795989</v>
      </c>
      <c r="N118" s="360">
        <f t="shared" si="11"/>
        <v>14112.988193438177</v>
      </c>
      <c r="O118" s="360">
        <f t="shared" si="12"/>
        <v>14015.756088525566</v>
      </c>
      <c r="Q118" s="266">
        <v>305</v>
      </c>
      <c r="R118" s="266" t="s">
        <v>143</v>
      </c>
      <c r="S118" s="360">
        <f t="shared" si="13"/>
        <v>15019</v>
      </c>
      <c r="T118" s="360">
        <f t="shared" si="14"/>
        <v>14913.026275115919</v>
      </c>
      <c r="U118" s="360">
        <f t="shared" si="15"/>
        <v>14809.071097372487</v>
      </c>
      <c r="V118" s="360">
        <f t="shared" si="16"/>
        <v>14709.153013910354</v>
      </c>
      <c r="W118" s="360">
        <f t="shared" si="17"/>
        <v>14608.225656877896</v>
      </c>
      <c r="X118" s="360">
        <f t="shared" si="18"/>
        <v>14507.298299845439</v>
      </c>
      <c r="Y118" s="360">
        <f t="shared" si="19"/>
        <v>14407.380216383306</v>
      </c>
      <c r="Z118" s="360">
        <f t="shared" si="20"/>
        <v>14309.480680061821</v>
      </c>
      <c r="AA118" s="443">
        <v>0.99311045233086648</v>
      </c>
    </row>
    <row r="119" spans="1:29" x14ac:dyDescent="0.2">
      <c r="A119" s="154" t="s">
        <v>144</v>
      </c>
      <c r="B119" s="354">
        <v>1288</v>
      </c>
      <c r="C119" s="354">
        <v>1284</v>
      </c>
      <c r="D119" s="354">
        <v>1196</v>
      </c>
      <c r="E119" s="354">
        <v>1174</v>
      </c>
      <c r="F119" s="331">
        <v>1155.6863711001643</v>
      </c>
      <c r="G119" s="336">
        <v>1136.4088669950738</v>
      </c>
      <c r="H119" s="337">
        <v>1119.0591133004925</v>
      </c>
      <c r="I119" s="337">
        <v>1101.7093596059112</v>
      </c>
      <c r="J119" s="337">
        <v>1083.3957307060755</v>
      </c>
      <c r="K119" s="337">
        <v>1065.0821018062397</v>
      </c>
      <c r="L119" s="337">
        <v>1046.768472906404</v>
      </c>
      <c r="M119" s="360">
        <f t="shared" si="11"/>
        <v>1029.755140238989</v>
      </c>
      <c r="N119" s="360">
        <f t="shared" si="11"/>
        <v>1013.0183285940774</v>
      </c>
      <c r="O119" s="360">
        <f t="shared" si="12"/>
        <v>996.55354362142123</v>
      </c>
      <c r="Q119" s="266">
        <v>312</v>
      </c>
      <c r="R119" s="266" t="s">
        <v>144</v>
      </c>
      <c r="S119" s="360">
        <f t="shared" si="13"/>
        <v>1174</v>
      </c>
      <c r="T119" s="360">
        <f t="shared" si="14"/>
        <v>1155.6863711001643</v>
      </c>
      <c r="U119" s="360">
        <f t="shared" si="15"/>
        <v>1136.4088669950738</v>
      </c>
      <c r="V119" s="360">
        <f t="shared" si="16"/>
        <v>1119.0591133004925</v>
      </c>
      <c r="W119" s="360">
        <f t="shared" si="17"/>
        <v>1101.7093596059112</v>
      </c>
      <c r="X119" s="360">
        <f t="shared" si="18"/>
        <v>1083.3957307060755</v>
      </c>
      <c r="Y119" s="360">
        <f t="shared" si="19"/>
        <v>1065.0821018062397</v>
      </c>
      <c r="Z119" s="360">
        <f t="shared" si="20"/>
        <v>1046.768472906404</v>
      </c>
      <c r="AA119" s="443">
        <v>0.98374680446748985</v>
      </c>
    </row>
    <row r="120" spans="1:29" x14ac:dyDescent="0.2">
      <c r="A120" s="154" t="s">
        <v>145</v>
      </c>
      <c r="B120" s="354">
        <v>4326</v>
      </c>
      <c r="C120" s="354">
        <v>4284</v>
      </c>
      <c r="D120" s="354">
        <v>4198</v>
      </c>
      <c r="E120" s="354">
        <v>4114</v>
      </c>
      <c r="F120" s="331">
        <v>4071.6181121226641</v>
      </c>
      <c r="G120" s="336">
        <v>4032.193100143747</v>
      </c>
      <c r="H120" s="337">
        <v>3996.7105893627217</v>
      </c>
      <c r="I120" s="337">
        <v>3966.1562050790608</v>
      </c>
      <c r="J120" s="337">
        <v>3935.6018207954003</v>
      </c>
      <c r="K120" s="337">
        <v>3908.9899377096312</v>
      </c>
      <c r="L120" s="337">
        <v>3883.3636799233354</v>
      </c>
      <c r="M120" s="360">
        <f t="shared" si="11"/>
        <v>3851.4919290951739</v>
      </c>
      <c r="N120" s="360">
        <f t="shared" si="11"/>
        <v>3819.881757811082</v>
      </c>
      <c r="O120" s="360">
        <f t="shared" si="12"/>
        <v>3788.5310192213865</v>
      </c>
      <c r="Q120" s="266">
        <v>316</v>
      </c>
      <c r="R120" s="266" t="s">
        <v>145</v>
      </c>
      <c r="S120" s="360">
        <f t="shared" si="13"/>
        <v>4114</v>
      </c>
      <c r="T120" s="360">
        <f t="shared" si="14"/>
        <v>4071.6181121226641</v>
      </c>
      <c r="U120" s="360">
        <f t="shared" si="15"/>
        <v>4032.193100143747</v>
      </c>
      <c r="V120" s="360">
        <f t="shared" si="16"/>
        <v>3996.7105893627217</v>
      </c>
      <c r="W120" s="360">
        <f t="shared" si="17"/>
        <v>3966.1562050790608</v>
      </c>
      <c r="X120" s="360">
        <f t="shared" si="18"/>
        <v>3935.6018207954003</v>
      </c>
      <c r="Y120" s="360">
        <f t="shared" si="19"/>
        <v>3908.9899377096312</v>
      </c>
      <c r="Z120" s="360">
        <f t="shared" si="20"/>
        <v>3883.3636799233354</v>
      </c>
      <c r="AA120" s="443">
        <v>0.99179274632635206</v>
      </c>
    </row>
    <row r="121" spans="1:29" x14ac:dyDescent="0.2">
      <c r="A121" s="154" t="s">
        <v>146</v>
      </c>
      <c r="B121" s="354">
        <v>2538</v>
      </c>
      <c r="C121" s="354">
        <v>2531</v>
      </c>
      <c r="D121" s="354">
        <v>2474</v>
      </c>
      <c r="E121" s="354">
        <v>2440</v>
      </c>
      <c r="F121" s="331">
        <v>2412.0915032679741</v>
      </c>
      <c r="G121" s="336">
        <v>2386.1764705882356</v>
      </c>
      <c r="H121" s="337">
        <v>2361.2581699346406</v>
      </c>
      <c r="I121" s="337">
        <v>2333.3496732026147</v>
      </c>
      <c r="J121" s="337">
        <v>2308.4313725490201</v>
      </c>
      <c r="K121" s="337">
        <v>2282.5163398692816</v>
      </c>
      <c r="L121" s="337">
        <v>2258.5947712418306</v>
      </c>
      <c r="M121" s="360">
        <f t="shared" si="11"/>
        <v>2233.8052044938195</v>
      </c>
      <c r="N121" s="360">
        <f t="shared" si="11"/>
        <v>2209.2877195850911</v>
      </c>
      <c r="O121" s="360">
        <f t="shared" si="12"/>
        <v>2185.0393302380708</v>
      </c>
      <c r="Q121" s="266">
        <v>317</v>
      </c>
      <c r="R121" s="266" t="s">
        <v>146</v>
      </c>
      <c r="S121" s="360">
        <f t="shared" si="13"/>
        <v>2440</v>
      </c>
      <c r="T121" s="360">
        <f t="shared" si="14"/>
        <v>2412.0915032679741</v>
      </c>
      <c r="U121" s="360">
        <f t="shared" si="15"/>
        <v>2386.1764705882356</v>
      </c>
      <c r="V121" s="360">
        <f t="shared" si="16"/>
        <v>2361.2581699346406</v>
      </c>
      <c r="W121" s="360">
        <f t="shared" si="17"/>
        <v>2333.3496732026147</v>
      </c>
      <c r="X121" s="360">
        <f t="shared" si="18"/>
        <v>2308.4313725490201</v>
      </c>
      <c r="Y121" s="360">
        <f t="shared" si="19"/>
        <v>2282.5163398692816</v>
      </c>
      <c r="Z121" s="360">
        <f t="shared" si="20"/>
        <v>2258.5947712418306</v>
      </c>
      <c r="AA121" s="443">
        <v>0.98902434068136036</v>
      </c>
    </row>
    <row r="122" spans="1:29" x14ac:dyDescent="0.2">
      <c r="A122" s="154" t="s">
        <v>147</v>
      </c>
      <c r="B122" s="354">
        <v>119984</v>
      </c>
      <c r="C122" s="354">
        <v>120373</v>
      </c>
      <c r="D122" s="354">
        <v>120175</v>
      </c>
      <c r="E122" s="354">
        <v>120693</v>
      </c>
      <c r="F122" s="331">
        <v>120833.04293197188</v>
      </c>
      <c r="G122" s="331">
        <v>120939.07543760774</v>
      </c>
      <c r="H122" s="331">
        <v>121004.09537030898</v>
      </c>
      <c r="I122" s="331">
        <v>121034.10457001724</v>
      </c>
      <c r="J122" s="337">
        <v>121029.10303673253</v>
      </c>
      <c r="K122" s="337">
        <v>120997.09322371038</v>
      </c>
      <c r="L122" s="337">
        <v>120934.07390432304</v>
      </c>
      <c r="M122" s="360">
        <f t="shared" si="11"/>
        <v>120968.57166419597</v>
      </c>
      <c r="N122" s="360">
        <f t="shared" si="11"/>
        <v>121003.0792649301</v>
      </c>
      <c r="O122" s="360">
        <f t="shared" si="12"/>
        <v>121037.59670933265</v>
      </c>
      <c r="Q122" s="266">
        <v>398</v>
      </c>
      <c r="R122" s="266" t="s">
        <v>147</v>
      </c>
      <c r="S122" s="360">
        <f t="shared" si="13"/>
        <v>120693</v>
      </c>
      <c r="T122" s="360">
        <f t="shared" si="14"/>
        <v>120833.04293197188</v>
      </c>
      <c r="U122" s="360">
        <f t="shared" si="15"/>
        <v>120939.07543760774</v>
      </c>
      <c r="V122" s="360">
        <f t="shared" si="16"/>
        <v>121004.09537030898</v>
      </c>
      <c r="W122" s="360">
        <f t="shared" si="17"/>
        <v>121034.10457001724</v>
      </c>
      <c r="X122" s="360">
        <f t="shared" si="18"/>
        <v>121029.10303673253</v>
      </c>
      <c r="Y122" s="360">
        <f t="shared" si="19"/>
        <v>120997.09322371038</v>
      </c>
      <c r="Z122" s="360">
        <f t="shared" si="20"/>
        <v>120934.07390432304</v>
      </c>
      <c r="AA122" s="443">
        <v>1.0002852608761053</v>
      </c>
    </row>
    <row r="123" spans="1:29" x14ac:dyDescent="0.2">
      <c r="A123" s="154" t="s">
        <v>148</v>
      </c>
      <c r="B123" s="354">
        <v>7996</v>
      </c>
      <c r="C123" s="354">
        <v>8092</v>
      </c>
      <c r="D123" s="354">
        <v>7817</v>
      </c>
      <c r="E123" s="354">
        <v>7682</v>
      </c>
      <c r="F123" s="331">
        <v>7649.9916666666668</v>
      </c>
      <c r="G123" s="336">
        <v>7616.0434343434345</v>
      </c>
      <c r="H123" s="337">
        <v>7581.1252525252521</v>
      </c>
      <c r="I123" s="337">
        <v>7542.3272727272724</v>
      </c>
      <c r="J123" s="337">
        <v>7497.7095959595954</v>
      </c>
      <c r="K123" s="337">
        <v>7446.3022727272728</v>
      </c>
      <c r="L123" s="337">
        <v>7397.8047979797975</v>
      </c>
      <c r="M123" s="360">
        <f t="shared" si="11"/>
        <v>7358.0766018862196</v>
      </c>
      <c r="N123" s="360">
        <f t="shared" si="11"/>
        <v>7318.5617568620401</v>
      </c>
      <c r="O123" s="360">
        <f t="shared" si="12"/>
        <v>7279.2591171547892</v>
      </c>
      <c r="Q123" s="266">
        <v>399</v>
      </c>
      <c r="R123" s="266" t="s">
        <v>148</v>
      </c>
      <c r="S123" s="360">
        <f t="shared" si="13"/>
        <v>7682</v>
      </c>
      <c r="T123" s="360">
        <f t="shared" si="14"/>
        <v>7649.9916666666668</v>
      </c>
      <c r="U123" s="360">
        <f t="shared" si="15"/>
        <v>7616.0434343434345</v>
      </c>
      <c r="V123" s="360">
        <f t="shared" si="16"/>
        <v>7581.1252525252521</v>
      </c>
      <c r="W123" s="360">
        <f t="shared" si="17"/>
        <v>7542.3272727272724</v>
      </c>
      <c r="X123" s="360">
        <f t="shared" si="18"/>
        <v>7497.7095959595954</v>
      </c>
      <c r="Y123" s="360">
        <f t="shared" si="19"/>
        <v>7446.3022727272728</v>
      </c>
      <c r="Z123" s="360">
        <f t="shared" si="20"/>
        <v>7397.8047979797975</v>
      </c>
      <c r="AA123" s="443">
        <v>0.99462973176793923</v>
      </c>
    </row>
    <row r="124" spans="1:29" x14ac:dyDescent="0.2">
      <c r="A124" s="154" t="s">
        <v>149</v>
      </c>
      <c r="B124" s="354">
        <v>8468</v>
      </c>
      <c r="C124" s="354">
        <v>8668</v>
      </c>
      <c r="D124" s="354">
        <v>8366</v>
      </c>
      <c r="E124" s="354">
        <v>8441</v>
      </c>
      <c r="F124" s="331">
        <v>8413.8843545508626</v>
      </c>
      <c r="G124" s="336">
        <v>8386.7687091017251</v>
      </c>
      <c r="H124" s="337">
        <v>8359.6530636525877</v>
      </c>
      <c r="I124" s="337">
        <v>8329.524568709101</v>
      </c>
      <c r="J124" s="337">
        <v>8300.4003569303968</v>
      </c>
      <c r="K124" s="337">
        <v>8268.2632956573452</v>
      </c>
      <c r="L124" s="337">
        <v>8233.1133848899444</v>
      </c>
      <c r="M124" s="360">
        <f t="shared" si="11"/>
        <v>8203.8367652312591</v>
      </c>
      <c r="N124" s="360">
        <f t="shared" si="11"/>
        <v>8174.6642520531432</v>
      </c>
      <c r="O124" s="360">
        <f t="shared" si="12"/>
        <v>8145.5954751571453</v>
      </c>
      <c r="Q124" s="266">
        <v>400</v>
      </c>
      <c r="R124" s="266" t="s">
        <v>149</v>
      </c>
      <c r="S124" s="360">
        <f t="shared" si="13"/>
        <v>8441</v>
      </c>
      <c r="T124" s="360">
        <f t="shared" si="14"/>
        <v>8413.8843545508626</v>
      </c>
      <c r="U124" s="360">
        <f t="shared" si="15"/>
        <v>8386.7687091017251</v>
      </c>
      <c r="V124" s="360">
        <f t="shared" si="16"/>
        <v>8359.6530636525877</v>
      </c>
      <c r="W124" s="360">
        <f t="shared" si="17"/>
        <v>8329.524568709101</v>
      </c>
      <c r="X124" s="360">
        <f t="shared" si="18"/>
        <v>8300.4003569303968</v>
      </c>
      <c r="Y124" s="360">
        <f t="shared" si="19"/>
        <v>8268.2632956573452</v>
      </c>
      <c r="Z124" s="360">
        <f t="shared" si="20"/>
        <v>8233.1133848899444</v>
      </c>
      <c r="AA124" s="443">
        <v>0.99644404026884692</v>
      </c>
    </row>
    <row r="125" spans="1:29" x14ac:dyDescent="0.2">
      <c r="A125" s="154" t="s">
        <v>150</v>
      </c>
      <c r="B125" s="354">
        <v>2621</v>
      </c>
      <c r="C125" s="354">
        <v>2579</v>
      </c>
      <c r="D125" s="354">
        <v>2518</v>
      </c>
      <c r="E125" s="354">
        <v>2449</v>
      </c>
      <c r="F125" s="331">
        <v>2430.7238805970151</v>
      </c>
      <c r="G125" s="336">
        <v>2412.4477611940297</v>
      </c>
      <c r="H125" s="337">
        <v>2396.0954438334643</v>
      </c>
      <c r="I125" s="337">
        <v>2379.7431264728984</v>
      </c>
      <c r="J125" s="337">
        <v>2364.3527101335426</v>
      </c>
      <c r="K125" s="337">
        <v>2351.8479968578158</v>
      </c>
      <c r="L125" s="337">
        <v>2340.305184603299</v>
      </c>
      <c r="M125" s="360">
        <f t="shared" si="11"/>
        <v>2325.1773017425135</v>
      </c>
      <c r="N125" s="360">
        <f t="shared" si="11"/>
        <v>2310.1472064871032</v>
      </c>
      <c r="O125" s="360">
        <f t="shared" si="12"/>
        <v>2295.2142667317135</v>
      </c>
      <c r="Q125" s="266">
        <v>407</v>
      </c>
      <c r="R125" s="266" t="s">
        <v>150</v>
      </c>
      <c r="S125" s="360">
        <f t="shared" si="13"/>
        <v>2449</v>
      </c>
      <c r="T125" s="360">
        <f t="shared" si="14"/>
        <v>2430.7238805970151</v>
      </c>
      <c r="U125" s="360">
        <f t="shared" si="15"/>
        <v>2412.4477611940297</v>
      </c>
      <c r="V125" s="360">
        <f t="shared" si="16"/>
        <v>2396.0954438334643</v>
      </c>
      <c r="W125" s="360">
        <f t="shared" si="17"/>
        <v>2379.7431264728984</v>
      </c>
      <c r="X125" s="360">
        <f t="shared" si="18"/>
        <v>2364.3527101335426</v>
      </c>
      <c r="Y125" s="360">
        <f t="shared" si="19"/>
        <v>2351.8479968578158</v>
      </c>
      <c r="Z125" s="360">
        <f t="shared" si="20"/>
        <v>2340.305184603299</v>
      </c>
      <c r="AA125" s="443">
        <v>0.99353593584276501</v>
      </c>
    </row>
    <row r="126" spans="1:29" s="274" customFormat="1" x14ac:dyDescent="0.2">
      <c r="A126" s="271" t="s">
        <v>151</v>
      </c>
      <c r="B126" s="335">
        <v>9358</v>
      </c>
      <c r="C126" s="335">
        <v>9300</v>
      </c>
      <c r="D126" s="335">
        <v>9099</v>
      </c>
      <c r="E126" s="335">
        <v>8975</v>
      </c>
      <c r="F126" s="332">
        <v>8873.733407079646</v>
      </c>
      <c r="G126" s="336">
        <v>8776.4380530973449</v>
      </c>
      <c r="H126" s="337">
        <v>8681.1283185840712</v>
      </c>
      <c r="I126" s="337">
        <v>8589.7898230088504</v>
      </c>
      <c r="J126" s="337">
        <v>8498.4513274336296</v>
      </c>
      <c r="K126" s="337">
        <v>8410.0912610619489</v>
      </c>
      <c r="L126" s="337">
        <v>8327.6880530973467</v>
      </c>
      <c r="M126" s="360">
        <f t="shared" si="11"/>
        <v>8239.1081638479009</v>
      </c>
      <c r="N126" s="360">
        <f t="shared" si="11"/>
        <v>8151.4704804939465</v>
      </c>
      <c r="O126" s="360">
        <f t="shared" si="12"/>
        <v>8064.7649809869463</v>
      </c>
      <c r="P126" s="266"/>
      <c r="Q126" s="266">
        <v>402</v>
      </c>
      <c r="R126" s="266" t="s">
        <v>151</v>
      </c>
      <c r="S126" s="360">
        <f t="shared" si="13"/>
        <v>8975</v>
      </c>
      <c r="T126" s="360">
        <f t="shared" si="14"/>
        <v>8873.733407079646</v>
      </c>
      <c r="U126" s="360">
        <f t="shared" si="15"/>
        <v>8776.4380530973449</v>
      </c>
      <c r="V126" s="360">
        <f t="shared" si="16"/>
        <v>8681.1283185840712</v>
      </c>
      <c r="W126" s="360">
        <f t="shared" si="17"/>
        <v>8589.7898230088504</v>
      </c>
      <c r="X126" s="360">
        <f t="shared" si="18"/>
        <v>8498.4513274336296</v>
      </c>
      <c r="Y126" s="360">
        <f t="shared" si="19"/>
        <v>8410.0912610619489</v>
      </c>
      <c r="Z126" s="360">
        <f t="shared" si="20"/>
        <v>8327.6880530973467</v>
      </c>
      <c r="AA126" s="443">
        <v>0.98936320756917639</v>
      </c>
      <c r="AB126" s="360"/>
      <c r="AC126" s="360"/>
    </row>
    <row r="127" spans="1:29" x14ac:dyDescent="0.2">
      <c r="A127" s="154" t="s">
        <v>152</v>
      </c>
      <c r="B127" s="354">
        <v>2925</v>
      </c>
      <c r="C127" s="354">
        <v>2921</v>
      </c>
      <c r="D127" s="354">
        <v>2820</v>
      </c>
      <c r="E127" s="354">
        <v>2789</v>
      </c>
      <c r="F127" s="331">
        <v>2740.4780717651324</v>
      </c>
      <c r="G127" s="336">
        <v>2692.9670170351578</v>
      </c>
      <c r="H127" s="337">
        <v>2646.4668358100762</v>
      </c>
      <c r="I127" s="337">
        <v>2602.9992750996739</v>
      </c>
      <c r="J127" s="337">
        <v>2557.5099673794853</v>
      </c>
      <c r="K127" s="337">
        <v>2517.0750271837619</v>
      </c>
      <c r="L127" s="337">
        <v>2479.6727075027179</v>
      </c>
      <c r="M127" s="360">
        <f t="shared" si="11"/>
        <v>2438.3784183961225</v>
      </c>
      <c r="N127" s="360">
        <f t="shared" si="11"/>
        <v>2397.7718080737714</v>
      </c>
      <c r="O127" s="360">
        <f t="shared" si="12"/>
        <v>2357.841424537809</v>
      </c>
      <c r="Q127" s="266">
        <v>403</v>
      </c>
      <c r="R127" s="266" t="s">
        <v>152</v>
      </c>
      <c r="S127" s="360">
        <f t="shared" si="13"/>
        <v>2789</v>
      </c>
      <c r="T127" s="360">
        <f t="shared" si="14"/>
        <v>2740.4780717651324</v>
      </c>
      <c r="U127" s="360">
        <f t="shared" si="15"/>
        <v>2692.9670170351578</v>
      </c>
      <c r="V127" s="360">
        <f t="shared" si="16"/>
        <v>2646.4668358100762</v>
      </c>
      <c r="W127" s="360">
        <f t="shared" si="17"/>
        <v>2602.9992750996739</v>
      </c>
      <c r="X127" s="360">
        <f t="shared" si="18"/>
        <v>2557.5099673794853</v>
      </c>
      <c r="Y127" s="360">
        <f t="shared" si="19"/>
        <v>2517.0750271837619</v>
      </c>
      <c r="Z127" s="360">
        <f t="shared" si="20"/>
        <v>2479.6727075027179</v>
      </c>
      <c r="AA127" s="443">
        <v>0.98334687921448194</v>
      </c>
    </row>
    <row r="128" spans="1:29" s="274" customFormat="1" x14ac:dyDescent="0.2">
      <c r="A128" s="271" t="s">
        <v>153</v>
      </c>
      <c r="B128" s="335">
        <v>72662</v>
      </c>
      <c r="C128" s="335">
        <v>72333</v>
      </c>
      <c r="D128" s="335">
        <v>72650</v>
      </c>
      <c r="E128" s="335">
        <v>72988</v>
      </c>
      <c r="F128" s="332">
        <v>72928.678963536426</v>
      </c>
      <c r="G128" s="336">
        <v>72860.308955408924</v>
      </c>
      <c r="H128" s="337">
        <v>72780.879093025491</v>
      </c>
      <c r="I128" s="337">
        <v>72698.432906754082</v>
      </c>
      <c r="J128" s="337">
        <v>72609.954072706721</v>
      </c>
      <c r="K128" s="337">
        <v>72512.426266995433</v>
      </c>
      <c r="L128" s="337">
        <v>72404.844048324216</v>
      </c>
      <c r="M128" s="360">
        <f t="shared" si="11"/>
        <v>72321.918910209977</v>
      </c>
      <c r="N128" s="360">
        <f t="shared" si="11"/>
        <v>72239.088746107795</v>
      </c>
      <c r="O128" s="360">
        <f t="shared" si="12"/>
        <v>72156.353447244095</v>
      </c>
      <c r="P128" s="266"/>
      <c r="Q128" s="266">
        <v>405</v>
      </c>
      <c r="R128" s="266" t="s">
        <v>153</v>
      </c>
      <c r="S128" s="360">
        <f t="shared" si="13"/>
        <v>72988</v>
      </c>
      <c r="T128" s="360">
        <f t="shared" si="14"/>
        <v>72928.678963536426</v>
      </c>
      <c r="U128" s="360">
        <f t="shared" si="15"/>
        <v>72860.308955408924</v>
      </c>
      <c r="V128" s="360">
        <f t="shared" si="16"/>
        <v>72780.879093025491</v>
      </c>
      <c r="W128" s="360">
        <f t="shared" si="17"/>
        <v>72698.432906754082</v>
      </c>
      <c r="X128" s="360">
        <f t="shared" si="18"/>
        <v>72609.954072706721</v>
      </c>
      <c r="Y128" s="360">
        <f t="shared" si="19"/>
        <v>72512.426266995433</v>
      </c>
      <c r="Z128" s="360">
        <f t="shared" si="20"/>
        <v>72404.844048324216</v>
      </c>
      <c r="AA128" s="443">
        <v>0.99885470179234292</v>
      </c>
      <c r="AB128" s="360"/>
      <c r="AC128" s="360"/>
    </row>
    <row r="129" spans="1:29" x14ac:dyDescent="0.2">
      <c r="A129" s="154" t="s">
        <v>154</v>
      </c>
      <c r="B129" s="354">
        <v>14221</v>
      </c>
      <c r="C129" s="354">
        <v>14230</v>
      </c>
      <c r="D129" s="354">
        <v>14099</v>
      </c>
      <c r="E129" s="354">
        <v>14024</v>
      </c>
      <c r="F129" s="331">
        <v>13932.641706636123</v>
      </c>
      <c r="G129" s="336">
        <v>13841.283413272246</v>
      </c>
      <c r="H129" s="337">
        <v>13753.940869067221</v>
      </c>
      <c r="I129" s="337">
        <v>13661.57863841363</v>
      </c>
      <c r="J129" s="337">
        <v>13571.224282339466</v>
      </c>
      <c r="K129" s="337">
        <v>13477.858114396164</v>
      </c>
      <c r="L129" s="337">
        <v>13379.472260004297</v>
      </c>
      <c r="M129" s="360">
        <f t="shared" si="11"/>
        <v>13289.848005905107</v>
      </c>
      <c r="N129" s="360">
        <f t="shared" si="11"/>
        <v>13200.824112325879</v>
      </c>
      <c r="O129" s="360">
        <f t="shared" si="12"/>
        <v>13112.396557668248</v>
      </c>
      <c r="Q129" s="266">
        <v>408</v>
      </c>
      <c r="R129" s="266" t="s">
        <v>154</v>
      </c>
      <c r="S129" s="360">
        <f t="shared" si="13"/>
        <v>14024</v>
      </c>
      <c r="T129" s="360">
        <f t="shared" si="14"/>
        <v>13932.641706636123</v>
      </c>
      <c r="U129" s="360">
        <f t="shared" si="15"/>
        <v>13841.283413272246</v>
      </c>
      <c r="V129" s="360">
        <f t="shared" si="16"/>
        <v>13753.940869067221</v>
      </c>
      <c r="W129" s="360">
        <f t="shared" si="17"/>
        <v>13661.57863841363</v>
      </c>
      <c r="X129" s="360">
        <f t="shared" si="18"/>
        <v>13571.224282339466</v>
      </c>
      <c r="Y129" s="360">
        <f t="shared" si="19"/>
        <v>13477.858114396164</v>
      </c>
      <c r="Z129" s="360">
        <f t="shared" si="20"/>
        <v>13379.472260004297</v>
      </c>
      <c r="AA129" s="443">
        <v>0.9933013610434317</v>
      </c>
    </row>
    <row r="130" spans="1:29" x14ac:dyDescent="0.2">
      <c r="A130" s="154" t="s">
        <v>155</v>
      </c>
      <c r="B130" s="354">
        <v>18823</v>
      </c>
      <c r="C130" s="354">
        <v>18991</v>
      </c>
      <c r="D130" s="354">
        <v>18775</v>
      </c>
      <c r="E130" s="354">
        <v>18762</v>
      </c>
      <c r="F130" s="331">
        <v>18735.017257909876</v>
      </c>
      <c r="G130" s="336">
        <v>18701.038990092682</v>
      </c>
      <c r="H130" s="337">
        <v>18662.063918184725</v>
      </c>
      <c r="I130" s="337">
        <v>18622.089485458615</v>
      </c>
      <c r="J130" s="337">
        <v>18578.117609459892</v>
      </c>
      <c r="K130" s="337">
        <v>18532.147011824865</v>
      </c>
      <c r="L130" s="337">
        <v>18475.18344519016</v>
      </c>
      <c r="M130" s="360">
        <f t="shared" si="11"/>
        <v>18434.57128331234</v>
      </c>
      <c r="N130" s="360">
        <f t="shared" si="11"/>
        <v>18394.048395118716</v>
      </c>
      <c r="O130" s="360">
        <f t="shared" si="12"/>
        <v>18353.614584367813</v>
      </c>
      <c r="Q130" s="266">
        <v>410</v>
      </c>
      <c r="R130" s="266" t="s">
        <v>155</v>
      </c>
      <c r="S130" s="360">
        <f t="shared" si="13"/>
        <v>18762</v>
      </c>
      <c r="T130" s="360">
        <f t="shared" si="14"/>
        <v>18735.017257909876</v>
      </c>
      <c r="U130" s="360">
        <f t="shared" si="15"/>
        <v>18701.038990092682</v>
      </c>
      <c r="V130" s="360">
        <f t="shared" si="16"/>
        <v>18662.063918184725</v>
      </c>
      <c r="W130" s="360">
        <f t="shared" si="17"/>
        <v>18622.089485458615</v>
      </c>
      <c r="X130" s="360">
        <f t="shared" si="18"/>
        <v>18578.117609459892</v>
      </c>
      <c r="Y130" s="360">
        <f t="shared" si="19"/>
        <v>18532.147011824865</v>
      </c>
      <c r="Z130" s="360">
        <f t="shared" si="20"/>
        <v>18475.18344519016</v>
      </c>
      <c r="AA130" s="443">
        <v>0.99780179926232915</v>
      </c>
    </row>
    <row r="131" spans="1:29" x14ac:dyDescent="0.2">
      <c r="A131" s="154" t="s">
        <v>156</v>
      </c>
      <c r="B131" s="354">
        <v>2964</v>
      </c>
      <c r="C131" s="354">
        <v>2991</v>
      </c>
      <c r="D131" s="354">
        <v>2886</v>
      </c>
      <c r="E131" s="354">
        <v>2862</v>
      </c>
      <c r="F131" s="331">
        <v>2844.248104755341</v>
      </c>
      <c r="G131" s="336">
        <v>2826.4962095106821</v>
      </c>
      <c r="H131" s="337">
        <v>2806.7718814610612</v>
      </c>
      <c r="I131" s="337">
        <v>2785.0751206064783</v>
      </c>
      <c r="J131" s="337">
        <v>2763.3783597518955</v>
      </c>
      <c r="K131" s="337">
        <v>2739.7091660923506</v>
      </c>
      <c r="L131" s="337">
        <v>2715.0537560303242</v>
      </c>
      <c r="M131" s="360">
        <f t="shared" si="11"/>
        <v>2694.6879734186459</v>
      </c>
      <c r="N131" s="360">
        <f t="shared" si="11"/>
        <v>2674.4749557754199</v>
      </c>
      <c r="O131" s="360">
        <f t="shared" si="12"/>
        <v>2654.4135572013683</v>
      </c>
      <c r="Q131" s="266">
        <v>416</v>
      </c>
      <c r="R131" s="266" t="s">
        <v>156</v>
      </c>
      <c r="S131" s="360">
        <f t="shared" si="13"/>
        <v>2862</v>
      </c>
      <c r="T131" s="360">
        <f t="shared" si="14"/>
        <v>2844.248104755341</v>
      </c>
      <c r="U131" s="360">
        <f t="shared" si="15"/>
        <v>2826.4962095106821</v>
      </c>
      <c r="V131" s="360">
        <f t="shared" si="16"/>
        <v>2806.7718814610612</v>
      </c>
      <c r="W131" s="360">
        <f t="shared" si="17"/>
        <v>2785.0751206064783</v>
      </c>
      <c r="X131" s="360">
        <f t="shared" si="18"/>
        <v>2763.3783597518955</v>
      </c>
      <c r="Y131" s="360">
        <f t="shared" si="19"/>
        <v>2739.7091660923506</v>
      </c>
      <c r="Z131" s="360">
        <f t="shared" si="20"/>
        <v>2715.0537560303242</v>
      </c>
      <c r="AA131" s="443">
        <v>0.99249893945324497</v>
      </c>
    </row>
    <row r="132" spans="1:29" x14ac:dyDescent="0.2">
      <c r="A132" s="154" t="s">
        <v>157</v>
      </c>
      <c r="B132" s="354">
        <v>23828</v>
      </c>
      <c r="C132" s="354">
        <v>23745</v>
      </c>
      <c r="D132" s="354">
        <v>24580</v>
      </c>
      <c r="E132" s="354">
        <v>24711</v>
      </c>
      <c r="F132" s="331">
        <v>24900.657807715859</v>
      </c>
      <c r="G132" s="336">
        <v>25075.183343539495</v>
      </c>
      <c r="H132" s="337">
        <v>25235.585425597059</v>
      </c>
      <c r="I132" s="337">
        <v>25378.837599510105</v>
      </c>
      <c r="J132" s="337">
        <v>25512.001592161669</v>
      </c>
      <c r="K132" s="337">
        <v>25634.068585425597</v>
      </c>
      <c r="L132" s="337">
        <v>25745.038579301898</v>
      </c>
      <c r="M132" s="360">
        <f t="shared" si="11"/>
        <v>25896.265266776885</v>
      </c>
      <c r="N132" s="360">
        <f t="shared" si="11"/>
        <v>26048.380261757578</v>
      </c>
      <c r="O132" s="360">
        <f t="shared" si="12"/>
        <v>26201.388782173683</v>
      </c>
      <c r="Q132" s="266">
        <v>418</v>
      </c>
      <c r="R132" s="266" t="s">
        <v>157</v>
      </c>
      <c r="S132" s="360">
        <f t="shared" si="13"/>
        <v>24711</v>
      </c>
      <c r="T132" s="360">
        <f t="shared" si="14"/>
        <v>24900.657807715859</v>
      </c>
      <c r="U132" s="360">
        <f t="shared" si="15"/>
        <v>25075.183343539495</v>
      </c>
      <c r="V132" s="360">
        <f t="shared" si="16"/>
        <v>25235.585425597059</v>
      </c>
      <c r="W132" s="360">
        <f t="shared" si="17"/>
        <v>25378.837599510105</v>
      </c>
      <c r="X132" s="360">
        <f t="shared" si="18"/>
        <v>25512.001592161669</v>
      </c>
      <c r="Y132" s="360">
        <f t="shared" si="19"/>
        <v>25634.068585425597</v>
      </c>
      <c r="Z132" s="360">
        <f t="shared" si="20"/>
        <v>25745.038579301898</v>
      </c>
      <c r="AA132" s="443">
        <v>1.0058740128514148</v>
      </c>
    </row>
    <row r="133" spans="1:29" x14ac:dyDescent="0.2">
      <c r="A133" s="154" t="s">
        <v>158</v>
      </c>
      <c r="B133" s="354">
        <v>9402</v>
      </c>
      <c r="C133" s="354">
        <v>9345</v>
      </c>
      <c r="D133" s="354">
        <v>9177</v>
      </c>
      <c r="E133" s="354">
        <v>9049</v>
      </c>
      <c r="F133" s="331">
        <v>8952.3843698403962</v>
      </c>
      <c r="G133" s="336">
        <v>8855.7687396807924</v>
      </c>
      <c r="H133" s="337">
        <v>8760.1491469455141</v>
      </c>
      <c r="I133" s="337">
        <v>8668.5137039075398</v>
      </c>
      <c r="J133" s="337">
        <v>8576.8782608695656</v>
      </c>
      <c r="K133" s="337">
        <v>8488.230930104568</v>
      </c>
      <c r="L133" s="337">
        <v>8406.555861309851</v>
      </c>
      <c r="M133" s="360">
        <f t="shared" si="11"/>
        <v>8318.5802082366699</v>
      </c>
      <c r="N133" s="360">
        <f t="shared" si="11"/>
        <v>8231.5252313192577</v>
      </c>
      <c r="O133" s="360">
        <f t="shared" si="12"/>
        <v>8145.3812955670901</v>
      </c>
      <c r="Q133" s="266">
        <v>420</v>
      </c>
      <c r="R133" s="266" t="s">
        <v>158</v>
      </c>
      <c r="S133" s="360">
        <f t="shared" si="13"/>
        <v>9049</v>
      </c>
      <c r="T133" s="360">
        <f t="shared" si="14"/>
        <v>8952.3843698403962</v>
      </c>
      <c r="U133" s="360">
        <f t="shared" si="15"/>
        <v>8855.7687396807924</v>
      </c>
      <c r="V133" s="360">
        <f t="shared" si="16"/>
        <v>8760.1491469455141</v>
      </c>
      <c r="W133" s="360">
        <f t="shared" si="17"/>
        <v>8668.5137039075398</v>
      </c>
      <c r="X133" s="360">
        <f t="shared" si="18"/>
        <v>8576.8782608695656</v>
      </c>
      <c r="Y133" s="360">
        <f t="shared" si="19"/>
        <v>8488.230930104568</v>
      </c>
      <c r="Z133" s="360">
        <f t="shared" si="20"/>
        <v>8406.555861309851</v>
      </c>
      <c r="AA133" s="443">
        <v>0.98953487557513553</v>
      </c>
    </row>
    <row r="134" spans="1:29" x14ac:dyDescent="0.2">
      <c r="A134" s="154" t="s">
        <v>159</v>
      </c>
      <c r="B134" s="354">
        <v>722</v>
      </c>
      <c r="C134" s="354">
        <v>686</v>
      </c>
      <c r="D134" s="354">
        <v>695</v>
      </c>
      <c r="E134" s="354">
        <v>682</v>
      </c>
      <c r="F134" s="331">
        <v>674.04664723032079</v>
      </c>
      <c r="G134" s="336">
        <v>665.09912536443153</v>
      </c>
      <c r="H134" s="337">
        <v>656.15160349854227</v>
      </c>
      <c r="I134" s="337">
        <v>650.18658892128281</v>
      </c>
      <c r="J134" s="337">
        <v>643.22740524781341</v>
      </c>
      <c r="K134" s="337">
        <v>635.27405247813408</v>
      </c>
      <c r="L134" s="337">
        <v>630.30320699708454</v>
      </c>
      <c r="M134" s="360">
        <f t="shared" si="11"/>
        <v>623.24625861502511</v>
      </c>
      <c r="N134" s="360">
        <f t="shared" si="11"/>
        <v>616.26832065194208</v>
      </c>
      <c r="O134" s="360">
        <f t="shared" si="12"/>
        <v>609.36850849794916</v>
      </c>
      <c r="Q134" s="266">
        <v>421</v>
      </c>
      <c r="R134" s="266" t="s">
        <v>159</v>
      </c>
      <c r="S134" s="360">
        <f t="shared" si="13"/>
        <v>682</v>
      </c>
      <c r="T134" s="360">
        <f t="shared" si="14"/>
        <v>674.04664723032079</v>
      </c>
      <c r="U134" s="360">
        <f t="shared" si="15"/>
        <v>665.09912536443153</v>
      </c>
      <c r="V134" s="360">
        <f t="shared" si="16"/>
        <v>656.15160349854227</v>
      </c>
      <c r="W134" s="360">
        <f t="shared" si="17"/>
        <v>650.18658892128281</v>
      </c>
      <c r="X134" s="360">
        <f t="shared" si="18"/>
        <v>643.22740524781341</v>
      </c>
      <c r="Y134" s="360">
        <f t="shared" si="19"/>
        <v>635.27405247813408</v>
      </c>
      <c r="Z134" s="360">
        <f t="shared" si="20"/>
        <v>630.30320699708454</v>
      </c>
      <c r="AA134" s="443">
        <v>0.98880388310939993</v>
      </c>
    </row>
    <row r="135" spans="1:29" x14ac:dyDescent="0.2">
      <c r="A135" s="154" t="s">
        <v>160</v>
      </c>
      <c r="B135" s="354">
        <v>10719</v>
      </c>
      <c r="C135" s="354">
        <v>10426</v>
      </c>
      <c r="D135" s="354">
        <v>10372</v>
      </c>
      <c r="E135" s="354">
        <v>10228</v>
      </c>
      <c r="F135" s="331">
        <v>10051.67254457689</v>
      </c>
      <c r="G135" s="336">
        <v>9885.4209437493846</v>
      </c>
      <c r="H135" s="337">
        <v>9723.1996847601222</v>
      </c>
      <c r="I135" s="337">
        <v>9567.0239385282239</v>
      </c>
      <c r="J135" s="337">
        <v>9417.9012905132495</v>
      </c>
      <c r="K135" s="337">
        <v>9276.8393261747606</v>
      </c>
      <c r="L135" s="337">
        <v>9136.7849472958333</v>
      </c>
      <c r="M135" s="360">
        <f t="shared" si="11"/>
        <v>8990.7084681253309</v>
      </c>
      <c r="N135" s="360">
        <f t="shared" si="11"/>
        <v>8846.9674207166499</v>
      </c>
      <c r="O135" s="360">
        <f t="shared" si="12"/>
        <v>8705.5244668100986</v>
      </c>
      <c r="Q135" s="266">
        <v>422</v>
      </c>
      <c r="R135" s="266" t="s">
        <v>160</v>
      </c>
      <c r="S135" s="360">
        <f t="shared" si="13"/>
        <v>10228</v>
      </c>
      <c r="T135" s="360">
        <f t="shared" si="14"/>
        <v>10051.67254457689</v>
      </c>
      <c r="U135" s="360">
        <f t="shared" si="15"/>
        <v>9885.4209437493846</v>
      </c>
      <c r="V135" s="360">
        <f t="shared" si="16"/>
        <v>9723.1996847601222</v>
      </c>
      <c r="W135" s="360">
        <f t="shared" si="17"/>
        <v>9567.0239385282239</v>
      </c>
      <c r="X135" s="360">
        <f t="shared" si="18"/>
        <v>9417.9012905132495</v>
      </c>
      <c r="Y135" s="360">
        <f t="shared" si="19"/>
        <v>9276.8393261747606</v>
      </c>
      <c r="Z135" s="360">
        <f t="shared" si="20"/>
        <v>9136.7849472958333</v>
      </c>
      <c r="AA135" s="443">
        <v>0.98401226689550836</v>
      </c>
    </row>
    <row r="136" spans="1:29" x14ac:dyDescent="0.2">
      <c r="A136" s="154" t="s">
        <v>161</v>
      </c>
      <c r="B136" s="354">
        <v>20146</v>
      </c>
      <c r="C136" s="354">
        <v>20094</v>
      </c>
      <c r="D136" s="354">
        <v>20497</v>
      </c>
      <c r="E136" s="354">
        <v>20637</v>
      </c>
      <c r="F136" s="331">
        <v>20780.201232531057</v>
      </c>
      <c r="G136" s="336">
        <v>20921.399650621119</v>
      </c>
      <c r="H136" s="337">
        <v>21057.591032608696</v>
      </c>
      <c r="I136" s="337">
        <v>21186.772564052797</v>
      </c>
      <c r="J136" s="337">
        <v>21304.938616071428</v>
      </c>
      <c r="K136" s="337">
        <v>21415.093410326084</v>
      </c>
      <c r="L136" s="337">
        <v>21510.227096273291</v>
      </c>
      <c r="M136" s="360">
        <f t="shared" si="11"/>
        <v>21637.962066373737</v>
      </c>
      <c r="N136" s="360">
        <f t="shared" si="11"/>
        <v>21766.455569729715</v>
      </c>
      <c r="O136" s="360">
        <f t="shared" si="12"/>
        <v>21895.712110767061</v>
      </c>
      <c r="Q136" s="266">
        <v>423</v>
      </c>
      <c r="R136" s="266" t="s">
        <v>161</v>
      </c>
      <c r="S136" s="360">
        <f t="shared" si="13"/>
        <v>20637</v>
      </c>
      <c r="T136" s="360">
        <f t="shared" si="14"/>
        <v>20780.201232531057</v>
      </c>
      <c r="U136" s="360">
        <f t="shared" si="15"/>
        <v>20921.399650621119</v>
      </c>
      <c r="V136" s="360">
        <f t="shared" si="16"/>
        <v>21057.591032608696</v>
      </c>
      <c r="W136" s="360">
        <f t="shared" si="17"/>
        <v>21186.772564052797</v>
      </c>
      <c r="X136" s="360">
        <f t="shared" si="18"/>
        <v>21304.938616071428</v>
      </c>
      <c r="Y136" s="360">
        <f t="shared" si="19"/>
        <v>21415.093410326084</v>
      </c>
      <c r="Z136" s="360">
        <f t="shared" si="20"/>
        <v>21510.227096273291</v>
      </c>
      <c r="AA136" s="443">
        <v>1.0059383366585923</v>
      </c>
    </row>
    <row r="137" spans="1:29" x14ac:dyDescent="0.2">
      <c r="A137" s="154" t="s">
        <v>162</v>
      </c>
      <c r="B137" s="354">
        <v>10238</v>
      </c>
      <c r="C137" s="354">
        <v>10455</v>
      </c>
      <c r="D137" s="354">
        <v>10258</v>
      </c>
      <c r="E137" s="354">
        <v>10256</v>
      </c>
      <c r="F137" s="331">
        <v>10284.579225521284</v>
      </c>
      <c r="G137" s="336">
        <v>10312.172960507351</v>
      </c>
      <c r="H137" s="337">
        <v>10336.810223887769</v>
      </c>
      <c r="I137" s="337">
        <v>10359.476506197752</v>
      </c>
      <c r="J137" s="337">
        <v>10377.215335831652</v>
      </c>
      <c r="K137" s="337">
        <v>10391.012203324684</v>
      </c>
      <c r="L137" s="337">
        <v>10409.736523493802</v>
      </c>
      <c r="M137" s="360">
        <f t="shared" ref="M137:N200" si="21">L137*$AA137</f>
        <v>10431.887490316672</v>
      </c>
      <c r="N137" s="360">
        <f t="shared" si="21"/>
        <v>10454.085592370111</v>
      </c>
      <c r="O137" s="360">
        <f t="shared" ref="O137:O200" si="22">N137*$AA137</f>
        <v>10476.330929953576</v>
      </c>
      <c r="Q137" s="266">
        <v>425</v>
      </c>
      <c r="R137" s="266" t="s">
        <v>162</v>
      </c>
      <c r="S137" s="360">
        <f t="shared" ref="S137:S200" si="23">E137</f>
        <v>10256</v>
      </c>
      <c r="T137" s="360">
        <f t="shared" ref="T137:T200" si="24">F137</f>
        <v>10284.579225521284</v>
      </c>
      <c r="U137" s="360">
        <f t="shared" ref="U137:U200" si="25">G137</f>
        <v>10312.172960507351</v>
      </c>
      <c r="V137" s="360">
        <f t="shared" ref="V137:V200" si="26">H137</f>
        <v>10336.810223887769</v>
      </c>
      <c r="W137" s="360">
        <f t="shared" ref="W137:W200" si="27">I137</f>
        <v>10359.476506197752</v>
      </c>
      <c r="X137" s="360">
        <f t="shared" ref="X137:X200" si="28">J137</f>
        <v>10377.215335831652</v>
      </c>
      <c r="Y137" s="360">
        <f t="shared" ref="Y137:Y200" si="29">K137</f>
        <v>10391.012203324684</v>
      </c>
      <c r="Z137" s="360">
        <f t="shared" ref="Z137:Z200" si="30">L137</f>
        <v>10409.736523493802</v>
      </c>
      <c r="AA137" s="443">
        <v>1.0021279084992092</v>
      </c>
    </row>
    <row r="138" spans="1:29" x14ac:dyDescent="0.2">
      <c r="A138" s="154" t="s">
        <v>163</v>
      </c>
      <c r="B138" s="354">
        <v>11994</v>
      </c>
      <c r="C138" s="354">
        <v>11959</v>
      </c>
      <c r="D138" s="354">
        <v>11962</v>
      </c>
      <c r="E138" s="354">
        <v>11969</v>
      </c>
      <c r="F138" s="331">
        <v>11906.154640921408</v>
      </c>
      <c r="G138" s="336">
        <v>11839.254742547424</v>
      </c>
      <c r="H138" s="337">
        <v>11771.341209349592</v>
      </c>
      <c r="I138" s="337">
        <v>11700.386771680216</v>
      </c>
      <c r="J138" s="337">
        <v>11625.377794715447</v>
      </c>
      <c r="K138" s="337">
        <v>11545.300643631437</v>
      </c>
      <c r="L138" s="337">
        <v>11468.264397018971</v>
      </c>
      <c r="M138" s="360">
        <f t="shared" si="21"/>
        <v>11398.463452480239</v>
      </c>
      <c r="N138" s="360">
        <f t="shared" si="21"/>
        <v>11329.087347454255</v>
      </c>
      <c r="O138" s="360">
        <f t="shared" si="22"/>
        <v>11260.133496179282</v>
      </c>
      <c r="Q138" s="266">
        <v>426</v>
      </c>
      <c r="R138" s="266" t="s">
        <v>163</v>
      </c>
      <c r="S138" s="360">
        <f t="shared" si="23"/>
        <v>11969</v>
      </c>
      <c r="T138" s="360">
        <f t="shared" si="24"/>
        <v>11906.154640921408</v>
      </c>
      <c r="U138" s="360">
        <f t="shared" si="25"/>
        <v>11839.254742547424</v>
      </c>
      <c r="V138" s="360">
        <f t="shared" si="26"/>
        <v>11771.341209349592</v>
      </c>
      <c r="W138" s="360">
        <f t="shared" si="27"/>
        <v>11700.386771680216</v>
      </c>
      <c r="X138" s="360">
        <f t="shared" si="28"/>
        <v>11625.377794715447</v>
      </c>
      <c r="Y138" s="360">
        <f t="shared" si="29"/>
        <v>11545.300643631437</v>
      </c>
      <c r="Z138" s="360">
        <f t="shared" si="30"/>
        <v>11468.264397018971</v>
      </c>
      <c r="AA138" s="443">
        <v>0.99391355639159518</v>
      </c>
    </row>
    <row r="139" spans="1:29" x14ac:dyDescent="0.2">
      <c r="A139" s="154" t="s">
        <v>164</v>
      </c>
      <c r="B139" s="354">
        <v>45886</v>
      </c>
      <c r="C139" s="354">
        <v>45289</v>
      </c>
      <c r="D139" s="354">
        <v>45811</v>
      </c>
      <c r="E139" s="354">
        <v>45645</v>
      </c>
      <c r="F139" s="331">
        <v>45408.334958232699</v>
      </c>
      <c r="G139" s="336">
        <v>45177.73825086969</v>
      </c>
      <c r="H139" s="337">
        <v>44957.255434180493</v>
      </c>
      <c r="I139" s="337">
        <v>44746.886508165117</v>
      </c>
      <c r="J139" s="337">
        <v>44548.654250958323</v>
      </c>
      <c r="K139" s="337">
        <v>44364.58144069487</v>
      </c>
      <c r="L139" s="337">
        <v>44188.599742970466</v>
      </c>
      <c r="M139" s="360">
        <f t="shared" si="21"/>
        <v>43984.375225091098</v>
      </c>
      <c r="N139" s="360">
        <f t="shared" si="21"/>
        <v>43781.094562729799</v>
      </c>
      <c r="O139" s="360">
        <f t="shared" si="22"/>
        <v>43578.753393710824</v>
      </c>
      <c r="Q139" s="266">
        <v>444</v>
      </c>
      <c r="R139" s="266" t="s">
        <v>164</v>
      </c>
      <c r="S139" s="360">
        <f t="shared" si="23"/>
        <v>45645</v>
      </c>
      <c r="T139" s="360">
        <f t="shared" si="24"/>
        <v>45408.334958232699</v>
      </c>
      <c r="U139" s="360">
        <f t="shared" si="25"/>
        <v>45177.73825086969</v>
      </c>
      <c r="V139" s="360">
        <f t="shared" si="26"/>
        <v>44957.255434180493</v>
      </c>
      <c r="W139" s="360">
        <f t="shared" si="27"/>
        <v>44746.886508165117</v>
      </c>
      <c r="X139" s="360">
        <f t="shared" si="28"/>
        <v>44548.654250958323</v>
      </c>
      <c r="Y139" s="360">
        <f t="shared" si="29"/>
        <v>44364.58144069487</v>
      </c>
      <c r="Z139" s="360">
        <f t="shared" si="30"/>
        <v>44188.599742970466</v>
      </c>
      <c r="AA139" s="443">
        <v>0.99537834375682266</v>
      </c>
    </row>
    <row r="140" spans="1:29" x14ac:dyDescent="0.2">
      <c r="A140" s="154" t="s">
        <v>165</v>
      </c>
      <c r="B140" s="354">
        <v>15770</v>
      </c>
      <c r="C140" s="354">
        <v>15584</v>
      </c>
      <c r="D140" s="354">
        <v>15392</v>
      </c>
      <c r="E140" s="354">
        <v>15420</v>
      </c>
      <c r="F140" s="331">
        <v>15291.449785072295</v>
      </c>
      <c r="G140" s="336">
        <v>15168.925361469324</v>
      </c>
      <c r="H140" s="337">
        <v>15051.422430636967</v>
      </c>
      <c r="I140" s="337">
        <v>14937.936694021102</v>
      </c>
      <c r="J140" s="337">
        <v>14828.468151621728</v>
      </c>
      <c r="K140" s="337">
        <v>14720.003907776476</v>
      </c>
      <c r="L140" s="337">
        <v>14611.539663931224</v>
      </c>
      <c r="M140" s="360">
        <f t="shared" si="21"/>
        <v>14499.559595913468</v>
      </c>
      <c r="N140" s="360">
        <f t="shared" si="21"/>
        <v>14388.437721893175</v>
      </c>
      <c r="O140" s="360">
        <f t="shared" si="22"/>
        <v>14278.167464834356</v>
      </c>
      <c r="Q140" s="266">
        <v>430</v>
      </c>
      <c r="R140" s="266" t="s">
        <v>165</v>
      </c>
      <c r="S140" s="360">
        <f t="shared" si="23"/>
        <v>15420</v>
      </c>
      <c r="T140" s="360">
        <f t="shared" si="24"/>
        <v>15291.449785072295</v>
      </c>
      <c r="U140" s="360">
        <f t="shared" si="25"/>
        <v>15168.925361469324</v>
      </c>
      <c r="V140" s="360">
        <f t="shared" si="26"/>
        <v>15051.422430636967</v>
      </c>
      <c r="W140" s="360">
        <f t="shared" si="27"/>
        <v>14937.936694021102</v>
      </c>
      <c r="X140" s="360">
        <f t="shared" si="28"/>
        <v>14828.468151621728</v>
      </c>
      <c r="Y140" s="360">
        <f t="shared" si="29"/>
        <v>14720.003907776476</v>
      </c>
      <c r="Z140" s="360">
        <f t="shared" si="30"/>
        <v>14611.539663931224</v>
      </c>
      <c r="AA140" s="443">
        <v>0.99233618971078186</v>
      </c>
    </row>
    <row r="141" spans="1:29" x14ac:dyDescent="0.2">
      <c r="A141" s="154" t="s">
        <v>166</v>
      </c>
      <c r="B141" s="354">
        <v>7853</v>
      </c>
      <c r="C141" s="354">
        <v>7632</v>
      </c>
      <c r="D141" s="354">
        <v>7749</v>
      </c>
      <c r="E141" s="354">
        <v>7692</v>
      </c>
      <c r="F141" s="331">
        <v>7644.0187134502921</v>
      </c>
      <c r="G141" s="336">
        <v>7600.0358674463932</v>
      </c>
      <c r="H141" s="337">
        <v>7554.0538011695908</v>
      </c>
      <c r="I141" s="337">
        <v>7512.0701754385973</v>
      </c>
      <c r="J141" s="337">
        <v>7468.0873294346984</v>
      </c>
      <c r="K141" s="337">
        <v>7428.1029239766085</v>
      </c>
      <c r="L141" s="337">
        <v>7390.1177387914231</v>
      </c>
      <c r="M141" s="360">
        <f t="shared" si="21"/>
        <v>7347.9704016706164</v>
      </c>
      <c r="N141" s="360">
        <f t="shared" si="21"/>
        <v>7306.0634393434411</v>
      </c>
      <c r="O141" s="360">
        <f t="shared" si="22"/>
        <v>7264.3954809038014</v>
      </c>
      <c r="Q141" s="266">
        <v>433</v>
      </c>
      <c r="R141" s="266" t="s">
        <v>166</v>
      </c>
      <c r="S141" s="360">
        <f t="shared" si="23"/>
        <v>7692</v>
      </c>
      <c r="T141" s="360">
        <f t="shared" si="24"/>
        <v>7644.0187134502921</v>
      </c>
      <c r="U141" s="360">
        <f t="shared" si="25"/>
        <v>7600.0358674463932</v>
      </c>
      <c r="V141" s="360">
        <f t="shared" si="26"/>
        <v>7554.0538011695908</v>
      </c>
      <c r="W141" s="360">
        <f t="shared" si="27"/>
        <v>7512.0701754385973</v>
      </c>
      <c r="X141" s="360">
        <f t="shared" si="28"/>
        <v>7468.0873294346984</v>
      </c>
      <c r="Y141" s="360">
        <f t="shared" si="29"/>
        <v>7428.1029239766085</v>
      </c>
      <c r="Z141" s="360">
        <f t="shared" si="30"/>
        <v>7390.1177387914231</v>
      </c>
      <c r="AA141" s="443">
        <v>0.99429679761398504</v>
      </c>
    </row>
    <row r="142" spans="1:29" s="274" customFormat="1" x14ac:dyDescent="0.2">
      <c r="A142" s="271" t="s">
        <v>167</v>
      </c>
      <c r="B142" s="335">
        <v>14745</v>
      </c>
      <c r="C142" s="335">
        <v>14453</v>
      </c>
      <c r="D142" s="335">
        <v>14568</v>
      </c>
      <c r="E142" s="335">
        <v>14458</v>
      </c>
      <c r="F142" s="332">
        <v>14367.731529656607</v>
      </c>
      <c r="G142" s="336">
        <v>14280.472008324661</v>
      </c>
      <c r="H142" s="337">
        <v>14195.218453000345</v>
      </c>
      <c r="I142" s="337">
        <v>14119.994727714184</v>
      </c>
      <c r="J142" s="337">
        <v>14049.785917447101</v>
      </c>
      <c r="K142" s="337">
        <v>13981.58307318765</v>
      </c>
      <c r="L142" s="337">
        <v>13915.386194935829</v>
      </c>
      <c r="M142" s="360">
        <f t="shared" si="21"/>
        <v>13839.552892170634</v>
      </c>
      <c r="N142" s="360">
        <f t="shared" si="21"/>
        <v>13764.132850649339</v>
      </c>
      <c r="O142" s="360">
        <f t="shared" si="22"/>
        <v>13689.12381826305</v>
      </c>
      <c r="P142" s="266"/>
      <c r="Q142" s="266">
        <v>434</v>
      </c>
      <c r="R142" s="266" t="s">
        <v>167</v>
      </c>
      <c r="S142" s="360">
        <f t="shared" si="23"/>
        <v>14458</v>
      </c>
      <c r="T142" s="360">
        <f t="shared" si="24"/>
        <v>14367.731529656607</v>
      </c>
      <c r="U142" s="360">
        <f t="shared" si="25"/>
        <v>14280.472008324661</v>
      </c>
      <c r="V142" s="360">
        <f t="shared" si="26"/>
        <v>14195.218453000345</v>
      </c>
      <c r="W142" s="360">
        <f t="shared" si="27"/>
        <v>14119.994727714184</v>
      </c>
      <c r="X142" s="360">
        <f t="shared" si="28"/>
        <v>14049.785917447101</v>
      </c>
      <c r="Y142" s="360">
        <f t="shared" si="29"/>
        <v>13981.58307318765</v>
      </c>
      <c r="Z142" s="360">
        <f t="shared" si="30"/>
        <v>13915.386194935829</v>
      </c>
      <c r="AA142" s="443">
        <v>0.99455039898261732</v>
      </c>
      <c r="AB142" s="360"/>
      <c r="AC142" s="360"/>
    </row>
    <row r="143" spans="1:29" x14ac:dyDescent="0.2">
      <c r="A143" s="154" t="s">
        <v>168</v>
      </c>
      <c r="B143" s="354">
        <v>699</v>
      </c>
      <c r="C143" s="354">
        <v>690</v>
      </c>
      <c r="D143" s="354">
        <v>692</v>
      </c>
      <c r="E143" s="354">
        <v>702</v>
      </c>
      <c r="F143" s="331">
        <v>703.02332361516039</v>
      </c>
      <c r="G143" s="336">
        <v>698.93002915451893</v>
      </c>
      <c r="H143" s="337">
        <v>698.93002915451893</v>
      </c>
      <c r="I143" s="337">
        <v>695.86005830903787</v>
      </c>
      <c r="J143" s="337">
        <v>694.83673469387747</v>
      </c>
      <c r="K143" s="337">
        <v>694.83673469387747</v>
      </c>
      <c r="L143" s="337">
        <v>691.76676384839641</v>
      </c>
      <c r="M143" s="360">
        <f t="shared" si="21"/>
        <v>690.31939731815896</v>
      </c>
      <c r="N143" s="360">
        <f t="shared" si="21"/>
        <v>688.8750590771981</v>
      </c>
      <c r="O143" s="360">
        <f t="shared" si="22"/>
        <v>687.43374278949887</v>
      </c>
      <c r="Q143" s="266">
        <v>435</v>
      </c>
      <c r="R143" s="266" t="s">
        <v>168</v>
      </c>
      <c r="S143" s="360">
        <f t="shared" si="23"/>
        <v>702</v>
      </c>
      <c r="T143" s="360">
        <f t="shared" si="24"/>
        <v>703.02332361516039</v>
      </c>
      <c r="U143" s="360">
        <f t="shared" si="25"/>
        <v>698.93002915451893</v>
      </c>
      <c r="V143" s="360">
        <f t="shared" si="26"/>
        <v>698.93002915451893</v>
      </c>
      <c r="W143" s="360">
        <f t="shared" si="27"/>
        <v>695.86005830903787</v>
      </c>
      <c r="X143" s="360">
        <f t="shared" si="28"/>
        <v>694.83673469387747</v>
      </c>
      <c r="Y143" s="360">
        <f t="shared" si="29"/>
        <v>694.83673469387747</v>
      </c>
      <c r="Z143" s="360">
        <f t="shared" si="30"/>
        <v>691.76676384839641</v>
      </c>
      <c r="AA143" s="443">
        <v>0.99790772467560374</v>
      </c>
    </row>
    <row r="144" spans="1:29" x14ac:dyDescent="0.2">
      <c r="A144" s="154" t="s">
        <v>169</v>
      </c>
      <c r="B144" s="354">
        <v>2036</v>
      </c>
      <c r="C144" s="354">
        <v>2020</v>
      </c>
      <c r="D144" s="354">
        <v>1988</v>
      </c>
      <c r="E144" s="354">
        <v>2033</v>
      </c>
      <c r="F144" s="331">
        <v>2026.9733201581028</v>
      </c>
      <c r="G144" s="336">
        <v>2017.9333003952568</v>
      </c>
      <c r="H144" s="337">
        <v>2012.9110671936758</v>
      </c>
      <c r="I144" s="337">
        <v>2005.8799407114623</v>
      </c>
      <c r="J144" s="337">
        <v>2000.8577075098813</v>
      </c>
      <c r="K144" s="337">
        <v>1994.831027667984</v>
      </c>
      <c r="L144" s="337">
        <v>1990.8132411067193</v>
      </c>
      <c r="M144" s="360">
        <f t="shared" si="21"/>
        <v>1984.8590016785965</v>
      </c>
      <c r="N144" s="360">
        <f t="shared" si="21"/>
        <v>1978.9225705342624</v>
      </c>
      <c r="O144" s="360">
        <f t="shared" si="22"/>
        <v>1973.0038944116711</v>
      </c>
      <c r="Q144" s="266">
        <v>436</v>
      </c>
      <c r="R144" s="266" t="s">
        <v>169</v>
      </c>
      <c r="S144" s="360">
        <f t="shared" si="23"/>
        <v>2033</v>
      </c>
      <c r="T144" s="360">
        <f t="shared" si="24"/>
        <v>2026.9733201581028</v>
      </c>
      <c r="U144" s="360">
        <f t="shared" si="25"/>
        <v>2017.9333003952568</v>
      </c>
      <c r="V144" s="360">
        <f t="shared" si="26"/>
        <v>2012.9110671936758</v>
      </c>
      <c r="W144" s="360">
        <f t="shared" si="27"/>
        <v>2005.8799407114623</v>
      </c>
      <c r="X144" s="360">
        <f t="shared" si="28"/>
        <v>2000.8577075098813</v>
      </c>
      <c r="Y144" s="360">
        <f t="shared" si="29"/>
        <v>1994.831027667984</v>
      </c>
      <c r="Z144" s="360">
        <f t="shared" si="30"/>
        <v>1990.8132411067193</v>
      </c>
      <c r="AA144" s="443">
        <v>0.99700914214092096</v>
      </c>
    </row>
    <row r="145" spans="1:27" x14ac:dyDescent="0.2">
      <c r="A145" s="154" t="s">
        <v>170</v>
      </c>
      <c r="B145" s="354">
        <v>5534</v>
      </c>
      <c r="C145" s="354">
        <v>5500</v>
      </c>
      <c r="D145" s="354">
        <v>5732</v>
      </c>
      <c r="E145" s="354">
        <v>5843</v>
      </c>
      <c r="F145" s="331">
        <v>5920.7316862474081</v>
      </c>
      <c r="G145" s="336">
        <v>5993.4158604008289</v>
      </c>
      <c r="H145" s="337">
        <v>6064.0810297166545</v>
      </c>
      <c r="I145" s="337">
        <v>6132.7271941948848</v>
      </c>
      <c r="J145" s="337">
        <v>6197.3353489979254</v>
      </c>
      <c r="K145" s="337">
        <v>6261.943503800966</v>
      </c>
      <c r="L145" s="337">
        <v>6322.5136489288161</v>
      </c>
      <c r="M145" s="360">
        <f t="shared" si="21"/>
        <v>6394.1595275848013</v>
      </c>
      <c r="N145" s="360">
        <f t="shared" si="21"/>
        <v>6466.6172877508025</v>
      </c>
      <c r="O145" s="360">
        <f t="shared" si="22"/>
        <v>6539.8961295594536</v>
      </c>
      <c r="Q145" s="266">
        <v>440</v>
      </c>
      <c r="R145" s="266" t="s">
        <v>170</v>
      </c>
      <c r="S145" s="360">
        <f t="shared" si="23"/>
        <v>5843</v>
      </c>
      <c r="T145" s="360">
        <f t="shared" si="24"/>
        <v>5920.7316862474081</v>
      </c>
      <c r="U145" s="360">
        <f t="shared" si="25"/>
        <v>5993.4158604008289</v>
      </c>
      <c r="V145" s="360">
        <f t="shared" si="26"/>
        <v>6064.0810297166545</v>
      </c>
      <c r="W145" s="360">
        <f t="shared" si="27"/>
        <v>6132.7271941948848</v>
      </c>
      <c r="X145" s="360">
        <f t="shared" si="28"/>
        <v>6197.3353489979254</v>
      </c>
      <c r="Y145" s="360">
        <f t="shared" si="29"/>
        <v>6261.943503800966</v>
      </c>
      <c r="Z145" s="360">
        <f t="shared" si="30"/>
        <v>6322.5136489288161</v>
      </c>
      <c r="AA145" s="443">
        <v>1.0113318661902966</v>
      </c>
    </row>
    <row r="146" spans="1:27" x14ac:dyDescent="0.2">
      <c r="A146" s="154" t="s">
        <v>171</v>
      </c>
      <c r="B146" s="354">
        <v>4543</v>
      </c>
      <c r="C146" s="354">
        <v>4467</v>
      </c>
      <c r="D146" s="354">
        <v>4421</v>
      </c>
      <c r="E146" s="354">
        <v>4396</v>
      </c>
      <c r="F146" s="331">
        <v>4344.4251207729467</v>
      </c>
      <c r="G146" s="336">
        <v>4292.8502415458934</v>
      </c>
      <c r="H146" s="337">
        <v>4245.3204508856679</v>
      </c>
      <c r="I146" s="337">
        <v>4196.7793880837353</v>
      </c>
      <c r="J146" s="337">
        <v>4149.2495974235098</v>
      </c>
      <c r="K146" s="337">
        <v>4106.7761674718195</v>
      </c>
      <c r="L146" s="337">
        <v>4062.2801932367147</v>
      </c>
      <c r="M146" s="360">
        <f t="shared" si="21"/>
        <v>4016.7210904714893</v>
      </c>
      <c r="N146" s="360">
        <f t="shared" si="21"/>
        <v>3971.6729401137882</v>
      </c>
      <c r="O146" s="360">
        <f t="shared" si="22"/>
        <v>3927.1300117530695</v>
      </c>
      <c r="Q146" s="266">
        <v>441</v>
      </c>
      <c r="R146" s="266" t="s">
        <v>171</v>
      </c>
      <c r="S146" s="360">
        <f t="shared" si="23"/>
        <v>4396</v>
      </c>
      <c r="T146" s="360">
        <f t="shared" si="24"/>
        <v>4344.4251207729467</v>
      </c>
      <c r="U146" s="360">
        <f t="shared" si="25"/>
        <v>4292.8502415458934</v>
      </c>
      <c r="V146" s="360">
        <f t="shared" si="26"/>
        <v>4245.3204508856679</v>
      </c>
      <c r="W146" s="360">
        <f t="shared" si="27"/>
        <v>4196.7793880837353</v>
      </c>
      <c r="X146" s="360">
        <f t="shared" si="28"/>
        <v>4149.2495974235098</v>
      </c>
      <c r="Y146" s="360">
        <f t="shared" si="29"/>
        <v>4106.7761674718195</v>
      </c>
      <c r="Z146" s="360">
        <f t="shared" si="30"/>
        <v>4062.2801932367147</v>
      </c>
      <c r="AA146" s="443">
        <v>0.98878484481669271</v>
      </c>
    </row>
    <row r="147" spans="1:27" x14ac:dyDescent="0.2">
      <c r="A147" s="154" t="s">
        <v>172</v>
      </c>
      <c r="B147" s="354">
        <v>5451</v>
      </c>
      <c r="C147" s="354">
        <v>5407</v>
      </c>
      <c r="D147" s="354">
        <v>5479</v>
      </c>
      <c r="E147" s="354">
        <v>5456</v>
      </c>
      <c r="F147" s="331">
        <v>5444.9085196821288</v>
      </c>
      <c r="G147" s="336">
        <v>5432.8087229717239</v>
      </c>
      <c r="H147" s="337">
        <v>5420.708926261319</v>
      </c>
      <c r="I147" s="337">
        <v>5406.5924967658466</v>
      </c>
      <c r="J147" s="337">
        <v>5385.4178525226389</v>
      </c>
      <c r="K147" s="337">
        <v>5365.251524671964</v>
      </c>
      <c r="L147" s="337">
        <v>5347.1018296063576</v>
      </c>
      <c r="M147" s="360">
        <f t="shared" si="21"/>
        <v>5331.7248287148614</v>
      </c>
      <c r="N147" s="360">
        <f t="shared" si="21"/>
        <v>5316.3920484430482</v>
      </c>
      <c r="O147" s="360">
        <f t="shared" si="22"/>
        <v>5301.1033616228697</v>
      </c>
      <c r="Q147" s="266">
        <v>475</v>
      </c>
      <c r="R147" s="266" t="s">
        <v>172</v>
      </c>
      <c r="S147" s="360">
        <f t="shared" si="23"/>
        <v>5456</v>
      </c>
      <c r="T147" s="360">
        <f t="shared" si="24"/>
        <v>5444.9085196821288</v>
      </c>
      <c r="U147" s="360">
        <f t="shared" si="25"/>
        <v>5432.8087229717239</v>
      </c>
      <c r="V147" s="360">
        <f t="shared" si="26"/>
        <v>5420.708926261319</v>
      </c>
      <c r="W147" s="360">
        <f t="shared" si="27"/>
        <v>5406.5924967658466</v>
      </c>
      <c r="X147" s="360">
        <f t="shared" si="28"/>
        <v>5385.4178525226389</v>
      </c>
      <c r="Y147" s="360">
        <f t="shared" si="29"/>
        <v>5365.251524671964</v>
      </c>
      <c r="Z147" s="360">
        <f t="shared" si="30"/>
        <v>5347.1018296063576</v>
      </c>
      <c r="AA147" s="443">
        <v>0.99712423638421177</v>
      </c>
    </row>
    <row r="148" spans="1:27" x14ac:dyDescent="0.2">
      <c r="A148" s="154" t="s">
        <v>173</v>
      </c>
      <c r="B148" s="354">
        <v>1999</v>
      </c>
      <c r="C148" s="354">
        <v>2003</v>
      </c>
      <c r="D148" s="354">
        <v>1978</v>
      </c>
      <c r="E148" s="354">
        <v>1930</v>
      </c>
      <c r="F148" s="331">
        <v>1927.0816532258066</v>
      </c>
      <c r="G148" s="336">
        <v>1923.1905241935485</v>
      </c>
      <c r="H148" s="337">
        <v>1920.2721774193549</v>
      </c>
      <c r="I148" s="337">
        <v>1915.4082661290322</v>
      </c>
      <c r="J148" s="337">
        <v>1907.6260080645161</v>
      </c>
      <c r="K148" s="337">
        <v>1900.8165322580646</v>
      </c>
      <c r="L148" s="337">
        <v>1894.9798387096776</v>
      </c>
      <c r="M148" s="360">
        <f t="shared" si="21"/>
        <v>1890.0299170468084</v>
      </c>
      <c r="N148" s="360">
        <f t="shared" si="21"/>
        <v>1885.0929251914063</v>
      </c>
      <c r="O148" s="360">
        <f t="shared" si="22"/>
        <v>1880.1688293692152</v>
      </c>
      <c r="Q148" s="266">
        <v>480</v>
      </c>
      <c r="R148" s="266" t="s">
        <v>173</v>
      </c>
      <c r="S148" s="360">
        <f t="shared" si="23"/>
        <v>1930</v>
      </c>
      <c r="T148" s="360">
        <f t="shared" si="24"/>
        <v>1927.0816532258066</v>
      </c>
      <c r="U148" s="360">
        <f t="shared" si="25"/>
        <v>1923.1905241935485</v>
      </c>
      <c r="V148" s="360">
        <f t="shared" si="26"/>
        <v>1920.2721774193549</v>
      </c>
      <c r="W148" s="360">
        <f t="shared" si="27"/>
        <v>1915.4082661290322</v>
      </c>
      <c r="X148" s="360">
        <f t="shared" si="28"/>
        <v>1907.6260080645161</v>
      </c>
      <c r="Y148" s="360">
        <f t="shared" si="29"/>
        <v>1900.8165322580646</v>
      </c>
      <c r="Z148" s="360">
        <f t="shared" si="30"/>
        <v>1894.9798387096776</v>
      </c>
      <c r="AA148" s="443">
        <v>0.99738787634477433</v>
      </c>
    </row>
    <row r="149" spans="1:27" x14ac:dyDescent="0.2">
      <c r="A149" s="154" t="s">
        <v>174</v>
      </c>
      <c r="B149" s="354">
        <v>9543</v>
      </c>
      <c r="C149" s="354">
        <v>9411</v>
      </c>
      <c r="D149" s="354">
        <v>9642</v>
      </c>
      <c r="E149" s="354">
        <v>9619</v>
      </c>
      <c r="F149" s="331">
        <v>9601.7707301654209</v>
      </c>
      <c r="G149" s="336">
        <v>9583.5279738699828</v>
      </c>
      <c r="H149" s="337">
        <v>9569.3391634179752</v>
      </c>
      <c r="I149" s="337">
        <v>9558.1908123485409</v>
      </c>
      <c r="J149" s="337">
        <v>9549.0694342008228</v>
      </c>
      <c r="K149" s="337">
        <v>9535.8941102096742</v>
      </c>
      <c r="L149" s="337">
        <v>9523.7322726793827</v>
      </c>
      <c r="M149" s="360">
        <f t="shared" si="21"/>
        <v>9510.2003009001401</v>
      </c>
      <c r="N149" s="360">
        <f t="shared" si="21"/>
        <v>9496.6875562741807</v>
      </c>
      <c r="O149" s="360">
        <f t="shared" si="22"/>
        <v>9483.1940114822464</v>
      </c>
      <c r="Q149" s="266">
        <v>481</v>
      </c>
      <c r="R149" s="266" t="s">
        <v>174</v>
      </c>
      <c r="S149" s="360">
        <f t="shared" si="23"/>
        <v>9619</v>
      </c>
      <c r="T149" s="360">
        <f t="shared" si="24"/>
        <v>9601.7707301654209</v>
      </c>
      <c r="U149" s="360">
        <f t="shared" si="25"/>
        <v>9583.5279738699828</v>
      </c>
      <c r="V149" s="360">
        <f t="shared" si="26"/>
        <v>9569.3391634179752</v>
      </c>
      <c r="W149" s="360">
        <f t="shared" si="27"/>
        <v>9558.1908123485409</v>
      </c>
      <c r="X149" s="360">
        <f t="shared" si="28"/>
        <v>9549.0694342008228</v>
      </c>
      <c r="Y149" s="360">
        <f t="shared" si="29"/>
        <v>9535.8941102096742</v>
      </c>
      <c r="Z149" s="360">
        <f t="shared" si="30"/>
        <v>9523.7322726793827</v>
      </c>
      <c r="AA149" s="443">
        <v>0.99857913143799082</v>
      </c>
    </row>
    <row r="150" spans="1:27" x14ac:dyDescent="0.2">
      <c r="A150" s="154" t="s">
        <v>175</v>
      </c>
      <c r="B150" s="354">
        <v>1078</v>
      </c>
      <c r="C150" s="354">
        <v>1048</v>
      </c>
      <c r="D150" s="354">
        <v>1067</v>
      </c>
      <c r="E150" s="354">
        <v>1055</v>
      </c>
      <c r="F150" s="331">
        <v>1039.7101449275362</v>
      </c>
      <c r="G150" s="336">
        <v>1025.4396135265702</v>
      </c>
      <c r="H150" s="337">
        <v>1012.1884057971016</v>
      </c>
      <c r="I150" s="337">
        <v>997.91787439613552</v>
      </c>
      <c r="J150" s="337">
        <v>987.72463768115972</v>
      </c>
      <c r="K150" s="337">
        <v>975.49275362318872</v>
      </c>
      <c r="L150" s="337">
        <v>963.26086956521772</v>
      </c>
      <c r="M150" s="360">
        <f t="shared" si="21"/>
        <v>950.82420980726351</v>
      </c>
      <c r="N150" s="360">
        <f t="shared" si="21"/>
        <v>938.54811974628558</v>
      </c>
      <c r="O150" s="360">
        <f t="shared" si="22"/>
        <v>926.43052626714768</v>
      </c>
      <c r="Q150" s="266">
        <v>483</v>
      </c>
      <c r="R150" s="266" t="s">
        <v>175</v>
      </c>
      <c r="S150" s="360">
        <f t="shared" si="23"/>
        <v>1055</v>
      </c>
      <c r="T150" s="360">
        <f t="shared" si="24"/>
        <v>1039.7101449275362</v>
      </c>
      <c r="U150" s="360">
        <f t="shared" si="25"/>
        <v>1025.4396135265702</v>
      </c>
      <c r="V150" s="360">
        <f t="shared" si="26"/>
        <v>1012.1884057971016</v>
      </c>
      <c r="W150" s="360">
        <f t="shared" si="27"/>
        <v>997.91787439613552</v>
      </c>
      <c r="X150" s="360">
        <f t="shared" si="28"/>
        <v>987.72463768115972</v>
      </c>
      <c r="Y150" s="360">
        <f t="shared" si="29"/>
        <v>975.49275362318872</v>
      </c>
      <c r="Z150" s="360">
        <f t="shared" si="30"/>
        <v>963.26086956521772</v>
      </c>
      <c r="AA150" s="443">
        <v>0.98708900137969102</v>
      </c>
    </row>
    <row r="151" spans="1:27" x14ac:dyDescent="0.2">
      <c r="A151" s="154" t="s">
        <v>176</v>
      </c>
      <c r="B151" s="354">
        <v>3066</v>
      </c>
      <c r="C151" s="354">
        <v>3039</v>
      </c>
      <c r="D151" s="354">
        <v>2967</v>
      </c>
      <c r="E151" s="354">
        <v>2966</v>
      </c>
      <c r="F151" s="331">
        <v>2946.2332555814728</v>
      </c>
      <c r="G151" s="336">
        <v>2930.4198600466511</v>
      </c>
      <c r="H151" s="337">
        <v>2915.5948017327555</v>
      </c>
      <c r="I151" s="337">
        <v>2898.7930689770074</v>
      </c>
      <c r="J151" s="337">
        <v>2884.9563478840382</v>
      </c>
      <c r="K151" s="337">
        <v>2869.1429523492166</v>
      </c>
      <c r="L151" s="337">
        <v>2854.3178940353209</v>
      </c>
      <c r="M151" s="360">
        <f t="shared" si="21"/>
        <v>2838.7108210756301</v>
      </c>
      <c r="N151" s="360">
        <f t="shared" si="21"/>
        <v>2823.1890857466487</v>
      </c>
      <c r="O151" s="360">
        <f t="shared" si="22"/>
        <v>2807.7522214322967</v>
      </c>
      <c r="Q151" s="266">
        <v>484</v>
      </c>
      <c r="R151" s="266" t="s">
        <v>176</v>
      </c>
      <c r="S151" s="360">
        <f t="shared" si="23"/>
        <v>2966</v>
      </c>
      <c r="T151" s="360">
        <f t="shared" si="24"/>
        <v>2946.2332555814728</v>
      </c>
      <c r="U151" s="360">
        <f t="shared" si="25"/>
        <v>2930.4198600466511</v>
      </c>
      <c r="V151" s="360">
        <f t="shared" si="26"/>
        <v>2915.5948017327555</v>
      </c>
      <c r="W151" s="360">
        <f t="shared" si="27"/>
        <v>2898.7930689770074</v>
      </c>
      <c r="X151" s="360">
        <f t="shared" si="28"/>
        <v>2884.9563478840382</v>
      </c>
      <c r="Y151" s="360">
        <f t="shared" si="29"/>
        <v>2869.1429523492166</v>
      </c>
      <c r="Z151" s="360">
        <f t="shared" si="30"/>
        <v>2854.3178940353209</v>
      </c>
      <c r="AA151" s="443">
        <v>0.99453211816654863</v>
      </c>
    </row>
    <row r="152" spans="1:27" x14ac:dyDescent="0.2">
      <c r="A152" s="154" t="s">
        <v>177</v>
      </c>
      <c r="B152" s="354">
        <v>1868</v>
      </c>
      <c r="C152" s="354">
        <v>1834</v>
      </c>
      <c r="D152" s="354">
        <v>1791</v>
      </c>
      <c r="E152" s="354">
        <v>1752</v>
      </c>
      <c r="F152" s="331">
        <v>1720.1635434412265</v>
      </c>
      <c r="G152" s="336">
        <v>1693.3015332197613</v>
      </c>
      <c r="H152" s="337">
        <v>1666.4395229982963</v>
      </c>
      <c r="I152" s="337">
        <v>1640.5724020442929</v>
      </c>
      <c r="J152" s="337">
        <v>1616.6950596252129</v>
      </c>
      <c r="K152" s="337">
        <v>1593.8126064735945</v>
      </c>
      <c r="L152" s="337">
        <v>1571.9250425894377</v>
      </c>
      <c r="M152" s="360">
        <f t="shared" si="21"/>
        <v>1547.7590552556255</v>
      </c>
      <c r="N152" s="360">
        <f t="shared" si="21"/>
        <v>1523.9645836926011</v>
      </c>
      <c r="O152" s="360">
        <f t="shared" si="22"/>
        <v>1500.5359164032075</v>
      </c>
      <c r="Q152" s="266">
        <v>489</v>
      </c>
      <c r="R152" s="266" t="s">
        <v>177</v>
      </c>
      <c r="S152" s="360">
        <f t="shared" si="23"/>
        <v>1752</v>
      </c>
      <c r="T152" s="360">
        <f t="shared" si="24"/>
        <v>1720.1635434412265</v>
      </c>
      <c r="U152" s="360">
        <f t="shared" si="25"/>
        <v>1693.3015332197613</v>
      </c>
      <c r="V152" s="360">
        <f t="shared" si="26"/>
        <v>1666.4395229982963</v>
      </c>
      <c r="W152" s="360">
        <f t="shared" si="27"/>
        <v>1640.5724020442929</v>
      </c>
      <c r="X152" s="360">
        <f t="shared" si="28"/>
        <v>1616.6950596252129</v>
      </c>
      <c r="Y152" s="360">
        <f t="shared" si="29"/>
        <v>1593.8126064735945</v>
      </c>
      <c r="Z152" s="360">
        <f t="shared" si="30"/>
        <v>1571.9250425894377</v>
      </c>
      <c r="AA152" s="443">
        <v>0.98462650146854114</v>
      </c>
    </row>
    <row r="153" spans="1:27" x14ac:dyDescent="0.2">
      <c r="A153" s="154" t="s">
        <v>178</v>
      </c>
      <c r="B153" s="354">
        <v>52583</v>
      </c>
      <c r="C153" s="354">
        <v>53069</v>
      </c>
      <c r="D153" s="354">
        <v>51980</v>
      </c>
      <c r="E153" s="354">
        <v>51919</v>
      </c>
      <c r="F153" s="331">
        <v>51516.824795640328</v>
      </c>
      <c r="G153" s="336">
        <v>51118.691553133511</v>
      </c>
      <c r="H153" s="337">
        <v>50719.547820163483</v>
      </c>
      <c r="I153" s="337">
        <v>50333.540463215257</v>
      </c>
      <c r="J153" s="337">
        <v>49949.554087193457</v>
      </c>
      <c r="K153" s="337">
        <v>49575.672615803815</v>
      </c>
      <c r="L153" s="337">
        <v>49203.812125340599</v>
      </c>
      <c r="M153" s="360">
        <f t="shared" si="21"/>
        <v>48827.697440123382</v>
      </c>
      <c r="N153" s="360">
        <f t="shared" si="21"/>
        <v>48454.45778125729</v>
      </c>
      <c r="O153" s="360">
        <f t="shared" si="22"/>
        <v>48084.071171997341</v>
      </c>
      <c r="Q153" s="266">
        <v>491</v>
      </c>
      <c r="R153" s="266" t="s">
        <v>178</v>
      </c>
      <c r="S153" s="360">
        <f t="shared" si="23"/>
        <v>51919</v>
      </c>
      <c r="T153" s="360">
        <f t="shared" si="24"/>
        <v>51516.824795640328</v>
      </c>
      <c r="U153" s="360">
        <f t="shared" si="25"/>
        <v>51118.691553133511</v>
      </c>
      <c r="V153" s="360">
        <f t="shared" si="26"/>
        <v>50719.547820163483</v>
      </c>
      <c r="W153" s="360">
        <f t="shared" si="27"/>
        <v>50333.540463215257</v>
      </c>
      <c r="X153" s="360">
        <f t="shared" si="28"/>
        <v>49949.554087193457</v>
      </c>
      <c r="Y153" s="360">
        <f t="shared" si="29"/>
        <v>49575.672615803815</v>
      </c>
      <c r="Z153" s="360">
        <f t="shared" si="30"/>
        <v>49203.812125340599</v>
      </c>
      <c r="AA153" s="443">
        <v>0.99235598485216736</v>
      </c>
    </row>
    <row r="154" spans="1:27" x14ac:dyDescent="0.2">
      <c r="A154" s="154" t="s">
        <v>179</v>
      </c>
      <c r="B154" s="354">
        <v>8903</v>
      </c>
      <c r="C154" s="354">
        <v>8946</v>
      </c>
      <c r="D154" s="354">
        <v>8882</v>
      </c>
      <c r="E154" s="354">
        <v>8827</v>
      </c>
      <c r="F154" s="331">
        <v>8793.9475774424154</v>
      </c>
      <c r="G154" s="336">
        <v>8763.8999205718828</v>
      </c>
      <c r="H154" s="337">
        <v>8733.8522637013502</v>
      </c>
      <c r="I154" s="337">
        <v>8704.8061953931683</v>
      </c>
      <c r="J154" s="337">
        <v>8675.7601270849882</v>
      </c>
      <c r="K154" s="337">
        <v>8646.7140587768081</v>
      </c>
      <c r="L154" s="337">
        <v>8618.6695790309786</v>
      </c>
      <c r="M154" s="360">
        <f t="shared" si="21"/>
        <v>8589.3123039451002</v>
      </c>
      <c r="N154" s="360">
        <f t="shared" si="21"/>
        <v>8560.055026845288</v>
      </c>
      <c r="O154" s="360">
        <f t="shared" si="22"/>
        <v>8530.8974071141929</v>
      </c>
      <c r="Q154" s="266">
        <v>494</v>
      </c>
      <c r="R154" s="266" t="s">
        <v>179</v>
      </c>
      <c r="S154" s="360">
        <f t="shared" si="23"/>
        <v>8827</v>
      </c>
      <c r="T154" s="360">
        <f t="shared" si="24"/>
        <v>8793.9475774424154</v>
      </c>
      <c r="U154" s="360">
        <f t="shared" si="25"/>
        <v>8763.8999205718828</v>
      </c>
      <c r="V154" s="360">
        <f t="shared" si="26"/>
        <v>8733.8522637013502</v>
      </c>
      <c r="W154" s="360">
        <f t="shared" si="27"/>
        <v>8704.8061953931683</v>
      </c>
      <c r="X154" s="360">
        <f t="shared" si="28"/>
        <v>8675.7601270849882</v>
      </c>
      <c r="Y154" s="360">
        <f t="shared" si="29"/>
        <v>8646.7140587768081</v>
      </c>
      <c r="Z154" s="360">
        <f t="shared" si="30"/>
        <v>8618.6695790309786</v>
      </c>
      <c r="AA154" s="443">
        <v>0.99659375790930615</v>
      </c>
    </row>
    <row r="155" spans="1:27" x14ac:dyDescent="0.2">
      <c r="A155" s="154" t="s">
        <v>180</v>
      </c>
      <c r="B155" s="354">
        <v>1558</v>
      </c>
      <c r="C155" s="354">
        <v>1480</v>
      </c>
      <c r="D155" s="354">
        <v>1477</v>
      </c>
      <c r="E155" s="354">
        <v>1430</v>
      </c>
      <c r="F155" s="331">
        <v>1406.8264686022958</v>
      </c>
      <c r="G155" s="336">
        <v>1384.6185010128293</v>
      </c>
      <c r="H155" s="337">
        <v>1364.3416610398381</v>
      </c>
      <c r="I155" s="337">
        <v>1341.1681296421339</v>
      </c>
      <c r="J155" s="337">
        <v>1319.925725860905</v>
      </c>
      <c r="K155" s="337">
        <v>1298.6833220796761</v>
      </c>
      <c r="L155" s="337">
        <v>1281.303173531398</v>
      </c>
      <c r="M155" s="360">
        <f t="shared" si="21"/>
        <v>1261.3631883677672</v>
      </c>
      <c r="N155" s="360">
        <f t="shared" si="21"/>
        <v>1241.7335146249925</v>
      </c>
      <c r="O155" s="360">
        <f t="shared" si="22"/>
        <v>1222.409323153146</v>
      </c>
      <c r="Q155" s="266">
        <v>495</v>
      </c>
      <c r="R155" s="266" t="s">
        <v>180</v>
      </c>
      <c r="S155" s="360">
        <f t="shared" si="23"/>
        <v>1430</v>
      </c>
      <c r="T155" s="360">
        <f t="shared" si="24"/>
        <v>1406.8264686022958</v>
      </c>
      <c r="U155" s="360">
        <f t="shared" si="25"/>
        <v>1384.6185010128293</v>
      </c>
      <c r="V155" s="360">
        <f t="shared" si="26"/>
        <v>1364.3416610398381</v>
      </c>
      <c r="W155" s="360">
        <f t="shared" si="27"/>
        <v>1341.1681296421339</v>
      </c>
      <c r="X155" s="360">
        <f t="shared" si="28"/>
        <v>1319.925725860905</v>
      </c>
      <c r="Y155" s="360">
        <f t="shared" si="29"/>
        <v>1298.6833220796761</v>
      </c>
      <c r="Z155" s="360">
        <f t="shared" si="30"/>
        <v>1281.303173531398</v>
      </c>
      <c r="AA155" s="443">
        <v>0.9844377306046358</v>
      </c>
    </row>
    <row r="156" spans="1:27" x14ac:dyDescent="0.2">
      <c r="A156" s="154" t="s">
        <v>181</v>
      </c>
      <c r="B156" s="354">
        <v>2297</v>
      </c>
      <c r="C156" s="354">
        <v>2241</v>
      </c>
      <c r="D156" s="354">
        <v>2281</v>
      </c>
      <c r="E156" s="354">
        <v>2325</v>
      </c>
      <c r="F156" s="331">
        <v>2313.7135922330099</v>
      </c>
      <c r="G156" s="336">
        <v>2303.4532215357463</v>
      </c>
      <c r="H156" s="337">
        <v>2294.2188879082087</v>
      </c>
      <c r="I156" s="337">
        <v>2284.9845542806711</v>
      </c>
      <c r="J156" s="337">
        <v>2274.7241835834075</v>
      </c>
      <c r="K156" s="337">
        <v>2262.4117387466908</v>
      </c>
      <c r="L156" s="337">
        <v>2252.1513680494272</v>
      </c>
      <c r="M156" s="360">
        <f t="shared" si="21"/>
        <v>2241.9326735452778</v>
      </c>
      <c r="N156" s="360">
        <f t="shared" si="21"/>
        <v>2231.7603443604626</v>
      </c>
      <c r="O156" s="360">
        <f t="shared" si="22"/>
        <v>2221.6341701214519</v>
      </c>
      <c r="Q156" s="266">
        <v>498</v>
      </c>
      <c r="R156" s="266" t="s">
        <v>181</v>
      </c>
      <c r="S156" s="360">
        <f t="shared" si="23"/>
        <v>2325</v>
      </c>
      <c r="T156" s="360">
        <f t="shared" si="24"/>
        <v>2313.7135922330099</v>
      </c>
      <c r="U156" s="360">
        <f t="shared" si="25"/>
        <v>2303.4532215357463</v>
      </c>
      <c r="V156" s="360">
        <f t="shared" si="26"/>
        <v>2294.2188879082087</v>
      </c>
      <c r="W156" s="360">
        <f t="shared" si="27"/>
        <v>2284.9845542806711</v>
      </c>
      <c r="X156" s="360">
        <f t="shared" si="28"/>
        <v>2274.7241835834075</v>
      </c>
      <c r="Y156" s="360">
        <f t="shared" si="29"/>
        <v>2262.4117387466908</v>
      </c>
      <c r="Z156" s="360">
        <f t="shared" si="30"/>
        <v>2252.1513680494272</v>
      </c>
      <c r="AA156" s="443">
        <v>0.99546269640259577</v>
      </c>
    </row>
    <row r="157" spans="1:27" x14ac:dyDescent="0.2">
      <c r="A157" s="154" t="s">
        <v>182</v>
      </c>
      <c r="B157" s="354">
        <v>19453</v>
      </c>
      <c r="C157" s="354">
        <v>19550</v>
      </c>
      <c r="D157" s="354">
        <v>19662</v>
      </c>
      <c r="E157" s="354">
        <v>19763</v>
      </c>
      <c r="F157" s="331">
        <v>19768.062762578134</v>
      </c>
      <c r="G157" s="336">
        <v>19765.025105031254</v>
      </c>
      <c r="H157" s="337">
        <v>19756.92468490624</v>
      </c>
      <c r="I157" s="337">
        <v>19743.761502203095</v>
      </c>
      <c r="J157" s="337">
        <v>19726.548109437441</v>
      </c>
      <c r="K157" s="337">
        <v>19696.171533968642</v>
      </c>
      <c r="L157" s="337">
        <v>19656.681985859203</v>
      </c>
      <c r="M157" s="360">
        <f t="shared" si="21"/>
        <v>19641.545662227814</v>
      </c>
      <c r="N157" s="360">
        <f t="shared" si="21"/>
        <v>19626.420994088094</v>
      </c>
      <c r="O157" s="360">
        <f t="shared" si="22"/>
        <v>19611.307972464911</v>
      </c>
      <c r="Q157" s="266">
        <v>499</v>
      </c>
      <c r="R157" s="266" t="s">
        <v>182</v>
      </c>
      <c r="S157" s="360">
        <f t="shared" si="23"/>
        <v>19763</v>
      </c>
      <c r="T157" s="360">
        <f t="shared" si="24"/>
        <v>19768.062762578134</v>
      </c>
      <c r="U157" s="360">
        <f t="shared" si="25"/>
        <v>19765.025105031254</v>
      </c>
      <c r="V157" s="360">
        <f t="shared" si="26"/>
        <v>19756.92468490624</v>
      </c>
      <c r="W157" s="360">
        <f t="shared" si="27"/>
        <v>19743.761502203095</v>
      </c>
      <c r="X157" s="360">
        <f t="shared" si="28"/>
        <v>19726.548109437441</v>
      </c>
      <c r="Y157" s="360">
        <f t="shared" si="29"/>
        <v>19696.171533968642</v>
      </c>
      <c r="Z157" s="360">
        <f t="shared" si="30"/>
        <v>19656.681985859203</v>
      </c>
      <c r="AA157" s="443">
        <v>0.99922996548235987</v>
      </c>
    </row>
    <row r="158" spans="1:27" x14ac:dyDescent="0.2">
      <c r="A158" s="154" t="s">
        <v>183</v>
      </c>
      <c r="B158" s="354">
        <v>10267</v>
      </c>
      <c r="C158" s="354">
        <v>10431</v>
      </c>
      <c r="D158" s="354">
        <v>10486</v>
      </c>
      <c r="E158" s="354">
        <v>10551</v>
      </c>
      <c r="F158" s="331">
        <v>10630.007488151658</v>
      </c>
      <c r="G158" s="336">
        <v>10701.014218009477</v>
      </c>
      <c r="H158" s="337">
        <v>10764.020189573457</v>
      </c>
      <c r="I158" s="337">
        <v>10820.025497630329</v>
      </c>
      <c r="J158" s="337">
        <v>10870.030236966822</v>
      </c>
      <c r="K158" s="337">
        <v>10912.034218009478</v>
      </c>
      <c r="L158" s="337">
        <v>10943.037156398103</v>
      </c>
      <c r="M158" s="360">
        <f t="shared" si="21"/>
        <v>11000.23128438357</v>
      </c>
      <c r="N158" s="360">
        <f t="shared" si="21"/>
        <v>11057.724339278382</v>
      </c>
      <c r="O158" s="360">
        <f t="shared" si="22"/>
        <v>11115.517883433437</v>
      </c>
      <c r="Q158" s="266">
        <v>500</v>
      </c>
      <c r="R158" s="266" t="s">
        <v>183</v>
      </c>
      <c r="S158" s="360">
        <f t="shared" si="23"/>
        <v>10551</v>
      </c>
      <c r="T158" s="360">
        <f t="shared" si="24"/>
        <v>10630.007488151658</v>
      </c>
      <c r="U158" s="360">
        <f t="shared" si="25"/>
        <v>10701.014218009477</v>
      </c>
      <c r="V158" s="360">
        <f t="shared" si="26"/>
        <v>10764.020189573457</v>
      </c>
      <c r="W158" s="360">
        <f t="shared" si="27"/>
        <v>10820.025497630329</v>
      </c>
      <c r="X158" s="360">
        <f t="shared" si="28"/>
        <v>10870.030236966822</v>
      </c>
      <c r="Y158" s="360">
        <f t="shared" si="29"/>
        <v>10912.034218009478</v>
      </c>
      <c r="Z158" s="360">
        <f t="shared" si="30"/>
        <v>10943.037156398103</v>
      </c>
      <c r="AA158" s="443">
        <v>1.0052265314617914</v>
      </c>
    </row>
    <row r="159" spans="1:27" x14ac:dyDescent="0.2">
      <c r="A159" s="154" t="s">
        <v>184</v>
      </c>
      <c r="B159" s="354">
        <v>7645</v>
      </c>
      <c r="C159" s="354">
        <v>7618</v>
      </c>
      <c r="D159" s="354">
        <v>7539</v>
      </c>
      <c r="E159" s="354">
        <v>7515</v>
      </c>
      <c r="F159" s="331">
        <v>7473.9289522793915</v>
      </c>
      <c r="G159" s="336">
        <v>7434.8613703012525</v>
      </c>
      <c r="H159" s="337">
        <v>7397.7972540655819</v>
      </c>
      <c r="I159" s="337">
        <v>7363.7383364436146</v>
      </c>
      <c r="J159" s="337">
        <v>7328.6776859504125</v>
      </c>
      <c r="K159" s="337">
        <v>7295.620501199679</v>
      </c>
      <c r="L159" s="337">
        <v>7267.5719808051181</v>
      </c>
      <c r="M159" s="360">
        <f t="shared" si="21"/>
        <v>7232.8973724646539</v>
      </c>
      <c r="N159" s="360">
        <f t="shared" si="21"/>
        <v>7198.3882015586914</v>
      </c>
      <c r="O159" s="360">
        <f t="shared" si="22"/>
        <v>7164.0436787619574</v>
      </c>
      <c r="Q159" s="266">
        <v>503</v>
      </c>
      <c r="R159" s="266" t="s">
        <v>184</v>
      </c>
      <c r="S159" s="360">
        <f t="shared" si="23"/>
        <v>7515</v>
      </c>
      <c r="T159" s="360">
        <f t="shared" si="24"/>
        <v>7473.9289522793915</v>
      </c>
      <c r="U159" s="360">
        <f t="shared" si="25"/>
        <v>7434.8613703012525</v>
      </c>
      <c r="V159" s="360">
        <f t="shared" si="26"/>
        <v>7397.7972540655819</v>
      </c>
      <c r="W159" s="360">
        <f t="shared" si="27"/>
        <v>7363.7383364436146</v>
      </c>
      <c r="X159" s="360">
        <f t="shared" si="28"/>
        <v>7328.6776859504125</v>
      </c>
      <c r="Y159" s="360">
        <f t="shared" si="29"/>
        <v>7295.620501199679</v>
      </c>
      <c r="Z159" s="360">
        <f t="shared" si="30"/>
        <v>7267.5719808051181</v>
      </c>
      <c r="AA159" s="443">
        <v>0.99522885931752092</v>
      </c>
    </row>
    <row r="160" spans="1:27" x14ac:dyDescent="0.2">
      <c r="A160" s="154" t="s">
        <v>185</v>
      </c>
      <c r="B160" s="354">
        <v>1871</v>
      </c>
      <c r="C160" s="354">
        <v>1888</v>
      </c>
      <c r="D160" s="354">
        <v>1764</v>
      </c>
      <c r="E160" s="354">
        <v>1715</v>
      </c>
      <c r="F160" s="331">
        <v>1697.9258849557521</v>
      </c>
      <c r="G160" s="336">
        <v>1681.8003318584069</v>
      </c>
      <c r="H160" s="337">
        <v>1665.6747787610618</v>
      </c>
      <c r="I160" s="337">
        <v>1655.2405973451325</v>
      </c>
      <c r="J160" s="337">
        <v>1644.8064159292035</v>
      </c>
      <c r="K160" s="337">
        <v>1634.3722345132742</v>
      </c>
      <c r="L160" s="337">
        <v>1624.8866150442477</v>
      </c>
      <c r="M160" s="360">
        <f t="shared" si="21"/>
        <v>1612.4082440354225</v>
      </c>
      <c r="N160" s="360">
        <f t="shared" si="21"/>
        <v>1600.0257010933633</v>
      </c>
      <c r="O160" s="360">
        <f t="shared" si="22"/>
        <v>1587.7382503032322</v>
      </c>
      <c r="Q160" s="266">
        <v>504</v>
      </c>
      <c r="R160" s="266" t="s">
        <v>185</v>
      </c>
      <c r="S160" s="360">
        <f t="shared" si="23"/>
        <v>1715</v>
      </c>
      <c r="T160" s="360">
        <f t="shared" si="24"/>
        <v>1697.9258849557521</v>
      </c>
      <c r="U160" s="360">
        <f t="shared" si="25"/>
        <v>1681.8003318584069</v>
      </c>
      <c r="V160" s="360">
        <f t="shared" si="26"/>
        <v>1665.6747787610618</v>
      </c>
      <c r="W160" s="360">
        <f t="shared" si="27"/>
        <v>1655.2405973451325</v>
      </c>
      <c r="X160" s="360">
        <f t="shared" si="28"/>
        <v>1644.8064159292035</v>
      </c>
      <c r="Y160" s="360">
        <f t="shared" si="29"/>
        <v>1634.3722345132742</v>
      </c>
      <c r="Z160" s="360">
        <f t="shared" si="30"/>
        <v>1624.8866150442477</v>
      </c>
      <c r="AA160" s="443">
        <v>0.99232046661392093</v>
      </c>
    </row>
    <row r="161" spans="1:29" x14ac:dyDescent="0.2">
      <c r="A161" s="154" t="s">
        <v>186</v>
      </c>
      <c r="B161" s="354">
        <v>20783</v>
      </c>
      <c r="C161" s="354">
        <v>20592</v>
      </c>
      <c r="D161" s="354">
        <v>20912</v>
      </c>
      <c r="E161" s="354">
        <v>20957</v>
      </c>
      <c r="F161" s="331">
        <v>20996.198263872237</v>
      </c>
      <c r="G161" s="336">
        <v>21033.38636036641</v>
      </c>
      <c r="H161" s="337">
        <v>21076.604958994772</v>
      </c>
      <c r="I161" s="337">
        <v>21117.813390245072</v>
      </c>
      <c r="J161" s="337">
        <v>21155.001486739242</v>
      </c>
      <c r="K161" s="337">
        <v>21194.199750611479</v>
      </c>
      <c r="L161" s="337">
        <v>21234.403098172745</v>
      </c>
      <c r="M161" s="360">
        <f t="shared" si="21"/>
        <v>21274.330830095507</v>
      </c>
      <c r="N161" s="360">
        <f t="shared" si="21"/>
        <v>21314.333639418332</v>
      </c>
      <c r="O161" s="360">
        <f t="shared" si="22"/>
        <v>21354.411667311673</v>
      </c>
      <c r="Q161" s="266">
        <v>505</v>
      </c>
      <c r="R161" s="266" t="s">
        <v>186</v>
      </c>
      <c r="S161" s="360">
        <f t="shared" si="23"/>
        <v>20957</v>
      </c>
      <c r="T161" s="360">
        <f t="shared" si="24"/>
        <v>20996.198263872237</v>
      </c>
      <c r="U161" s="360">
        <f t="shared" si="25"/>
        <v>21033.38636036641</v>
      </c>
      <c r="V161" s="360">
        <f t="shared" si="26"/>
        <v>21076.604958994772</v>
      </c>
      <c r="W161" s="360">
        <f t="shared" si="27"/>
        <v>21117.813390245072</v>
      </c>
      <c r="X161" s="360">
        <f t="shared" si="28"/>
        <v>21155.001486739242</v>
      </c>
      <c r="Y161" s="360">
        <f t="shared" si="29"/>
        <v>21194.199750611479</v>
      </c>
      <c r="Z161" s="360">
        <f t="shared" si="30"/>
        <v>21234.403098172745</v>
      </c>
      <c r="AA161" s="443">
        <v>1.0018803322013887</v>
      </c>
    </row>
    <row r="162" spans="1:29" x14ac:dyDescent="0.2">
      <c r="A162" s="154" t="s">
        <v>350</v>
      </c>
      <c r="B162" s="354">
        <v>9673</v>
      </c>
      <c r="C162" s="354">
        <v>9462</v>
      </c>
      <c r="D162" s="354">
        <v>9360</v>
      </c>
      <c r="E162" s="354">
        <v>9271</v>
      </c>
      <c r="F162" s="331">
        <v>9109.3319806975214</v>
      </c>
      <c r="G162" s="336">
        <v>8960.8821013380129</v>
      </c>
      <c r="H162" s="337">
        <v>8821.5832419390208</v>
      </c>
      <c r="I162" s="337">
        <v>8689.4018425093218</v>
      </c>
      <c r="J162" s="337">
        <v>8566.3714630401391</v>
      </c>
      <c r="K162" s="337">
        <v>8449.4417635446353</v>
      </c>
      <c r="L162" s="337">
        <v>8339.6295240184245</v>
      </c>
      <c r="M162" s="360">
        <f t="shared" si="21"/>
        <v>8214.4534845710459</v>
      </c>
      <c r="N162" s="360">
        <f t="shared" si="21"/>
        <v>8091.1563104625411</v>
      </c>
      <c r="O162" s="360">
        <f t="shared" si="22"/>
        <v>7969.7098003296369</v>
      </c>
      <c r="Q162" s="266">
        <v>508</v>
      </c>
      <c r="R162" s="266" t="s">
        <v>350</v>
      </c>
      <c r="S162" s="360">
        <f t="shared" si="23"/>
        <v>9271</v>
      </c>
      <c r="T162" s="360">
        <f t="shared" si="24"/>
        <v>9109.3319806975214</v>
      </c>
      <c r="U162" s="360">
        <f t="shared" si="25"/>
        <v>8960.8821013380129</v>
      </c>
      <c r="V162" s="360">
        <f t="shared" si="26"/>
        <v>8821.5832419390208</v>
      </c>
      <c r="W162" s="360">
        <f t="shared" si="27"/>
        <v>8689.4018425093218</v>
      </c>
      <c r="X162" s="360">
        <f t="shared" si="28"/>
        <v>8566.3714630401391</v>
      </c>
      <c r="Y162" s="360">
        <f t="shared" si="29"/>
        <v>8449.4417635446353</v>
      </c>
      <c r="Z162" s="360">
        <f t="shared" si="30"/>
        <v>8339.6295240184245</v>
      </c>
      <c r="AA162" s="443">
        <v>0.98499021580192891</v>
      </c>
    </row>
    <row r="163" spans="1:29" x14ac:dyDescent="0.2">
      <c r="A163" s="154" t="s">
        <v>187</v>
      </c>
      <c r="B163" s="354">
        <v>5676</v>
      </c>
      <c r="C163" s="354">
        <v>5687</v>
      </c>
      <c r="D163" s="354">
        <v>5564</v>
      </c>
      <c r="E163" s="354">
        <v>5522</v>
      </c>
      <c r="F163" s="331">
        <v>5452.0756102037067</v>
      </c>
      <c r="G163" s="336">
        <v>5388.2316021288307</v>
      </c>
      <c r="H163" s="337">
        <v>5326.4143879610938</v>
      </c>
      <c r="I163" s="337">
        <v>5265.610570746926</v>
      </c>
      <c r="J163" s="337">
        <v>5208.8603413470364</v>
      </c>
      <c r="K163" s="337">
        <v>5154.1369058542859</v>
      </c>
      <c r="L163" s="337">
        <v>5101.4402642686737</v>
      </c>
      <c r="M163" s="360">
        <f t="shared" si="21"/>
        <v>5044.0355252709232</v>
      </c>
      <c r="N163" s="360">
        <f t="shared" si="21"/>
        <v>4987.2767419030924</v>
      </c>
      <c r="O163" s="360">
        <f t="shared" si="22"/>
        <v>4931.1566454503827</v>
      </c>
      <c r="Q163" s="266">
        <v>507</v>
      </c>
      <c r="R163" s="266" t="s">
        <v>187</v>
      </c>
      <c r="S163" s="360">
        <f t="shared" si="23"/>
        <v>5522</v>
      </c>
      <c r="T163" s="360">
        <f t="shared" si="24"/>
        <v>5452.0756102037067</v>
      </c>
      <c r="U163" s="360">
        <f t="shared" si="25"/>
        <v>5388.2316021288307</v>
      </c>
      <c r="V163" s="360">
        <f t="shared" si="26"/>
        <v>5326.4143879610938</v>
      </c>
      <c r="W163" s="360">
        <f t="shared" si="27"/>
        <v>5265.610570746926</v>
      </c>
      <c r="X163" s="360">
        <f t="shared" si="28"/>
        <v>5208.8603413470364</v>
      </c>
      <c r="Y163" s="360">
        <f t="shared" si="29"/>
        <v>5154.1369058542859</v>
      </c>
      <c r="Z163" s="360">
        <f t="shared" si="30"/>
        <v>5101.4402642686737</v>
      </c>
      <c r="AA163" s="443">
        <v>0.98874734662682962</v>
      </c>
    </row>
    <row r="164" spans="1:29" x14ac:dyDescent="0.2">
      <c r="A164" s="154" t="s">
        <v>188</v>
      </c>
      <c r="B164" s="354">
        <v>19427</v>
      </c>
      <c r="C164" s="354">
        <v>19448</v>
      </c>
      <c r="D164" s="354">
        <v>19850</v>
      </c>
      <c r="E164" s="354">
        <v>19999</v>
      </c>
      <c r="F164" s="331">
        <v>20074.310467660678</v>
      </c>
      <c r="G164" s="336">
        <v>20150.638644343799</v>
      </c>
      <c r="H164" s="337">
        <v>20224.931402982038</v>
      </c>
      <c r="I164" s="337">
        <v>20295.153325530511</v>
      </c>
      <c r="J164" s="337">
        <v>20362.322121011661</v>
      </c>
      <c r="K164" s="337">
        <v>20430.508625515249</v>
      </c>
      <c r="L164" s="337">
        <v>20496.659711973956</v>
      </c>
      <c r="M164" s="360">
        <f t="shared" si="21"/>
        <v>20568.758251598636</v>
      </c>
      <c r="N164" s="360">
        <f t="shared" si="21"/>
        <v>20641.110403250303</v>
      </c>
      <c r="O164" s="360">
        <f t="shared" si="22"/>
        <v>20713.717059028306</v>
      </c>
      <c r="Q164" s="266">
        <v>529</v>
      </c>
      <c r="R164" s="266" t="s">
        <v>188</v>
      </c>
      <c r="S164" s="360">
        <f t="shared" si="23"/>
        <v>19999</v>
      </c>
      <c r="T164" s="360">
        <f t="shared" si="24"/>
        <v>20074.310467660678</v>
      </c>
      <c r="U164" s="360">
        <f t="shared" si="25"/>
        <v>20150.638644343799</v>
      </c>
      <c r="V164" s="360">
        <f t="shared" si="26"/>
        <v>20224.931402982038</v>
      </c>
      <c r="W164" s="360">
        <f t="shared" si="27"/>
        <v>20295.153325530511</v>
      </c>
      <c r="X164" s="360">
        <f t="shared" si="28"/>
        <v>20362.322121011661</v>
      </c>
      <c r="Y164" s="360">
        <f t="shared" si="29"/>
        <v>20430.508625515249</v>
      </c>
      <c r="Z164" s="360">
        <f t="shared" si="30"/>
        <v>20496.659711973956</v>
      </c>
      <c r="AA164" s="443">
        <v>1.0035175750896894</v>
      </c>
    </row>
    <row r="165" spans="1:29" x14ac:dyDescent="0.2">
      <c r="A165" s="154" t="s">
        <v>189</v>
      </c>
      <c r="B165" s="354">
        <v>5256</v>
      </c>
      <c r="C165" s="354">
        <v>5282</v>
      </c>
      <c r="D165" s="354">
        <v>5072</v>
      </c>
      <c r="E165" s="354">
        <v>4966</v>
      </c>
      <c r="F165" s="331">
        <v>4898.0939357907255</v>
      </c>
      <c r="G165" s="336">
        <v>4829.2037257233451</v>
      </c>
      <c r="H165" s="337">
        <v>4763.2659532302814</v>
      </c>
      <c r="I165" s="337">
        <v>4700.2806183115335</v>
      </c>
      <c r="J165" s="337">
        <v>4638.2794292508916</v>
      </c>
      <c r="K165" s="337">
        <v>4577.2623860483545</v>
      </c>
      <c r="L165" s="337">
        <v>4518.2136345620283</v>
      </c>
      <c r="M165" s="360">
        <f t="shared" si="21"/>
        <v>4457.6292252369358</v>
      </c>
      <c r="N165" s="360">
        <f t="shared" si="21"/>
        <v>4397.8571880018198</v>
      </c>
      <c r="O165" s="360">
        <f t="shared" si="22"/>
        <v>4338.8866298163766</v>
      </c>
      <c r="Q165" s="266">
        <v>531</v>
      </c>
      <c r="R165" s="266" t="s">
        <v>189</v>
      </c>
      <c r="S165" s="360">
        <f t="shared" si="23"/>
        <v>4966</v>
      </c>
      <c r="T165" s="360">
        <f t="shared" si="24"/>
        <v>4898.0939357907255</v>
      </c>
      <c r="U165" s="360">
        <f t="shared" si="25"/>
        <v>4829.2037257233451</v>
      </c>
      <c r="V165" s="360">
        <f t="shared" si="26"/>
        <v>4763.2659532302814</v>
      </c>
      <c r="W165" s="360">
        <f t="shared" si="27"/>
        <v>4700.2806183115335</v>
      </c>
      <c r="X165" s="360">
        <f t="shared" si="28"/>
        <v>4638.2794292508916</v>
      </c>
      <c r="Y165" s="360">
        <f t="shared" si="29"/>
        <v>4577.2623860483545</v>
      </c>
      <c r="Z165" s="360">
        <f t="shared" si="30"/>
        <v>4518.2136345620283</v>
      </c>
      <c r="AA165" s="443">
        <v>0.98659107022703552</v>
      </c>
    </row>
    <row r="166" spans="1:29" x14ac:dyDescent="0.2">
      <c r="A166" s="154" t="s">
        <v>190</v>
      </c>
      <c r="B166" s="354">
        <v>10500</v>
      </c>
      <c r="C166" s="354">
        <v>10505</v>
      </c>
      <c r="D166" s="354">
        <v>10419</v>
      </c>
      <c r="E166" s="354">
        <v>10454</v>
      </c>
      <c r="F166" s="331">
        <v>10341.978175383405</v>
      </c>
      <c r="G166" s="336">
        <v>10233.03952025167</v>
      </c>
      <c r="H166" s="337">
        <v>10119.989972473455</v>
      </c>
      <c r="I166" s="337">
        <v>10006.94042469524</v>
      </c>
      <c r="J166" s="337">
        <v>9895.946323240265</v>
      </c>
      <c r="K166" s="337">
        <v>9781.8690523004298</v>
      </c>
      <c r="L166" s="337">
        <v>9665.7363350373544</v>
      </c>
      <c r="M166" s="360">
        <f t="shared" si="21"/>
        <v>9558.0885069977758</v>
      </c>
      <c r="N166" s="360">
        <f t="shared" si="21"/>
        <v>9451.6395586379203</v>
      </c>
      <c r="O166" s="360">
        <f t="shared" si="22"/>
        <v>9346.3761379699899</v>
      </c>
      <c r="Q166" s="266">
        <v>535</v>
      </c>
      <c r="R166" s="266" t="s">
        <v>190</v>
      </c>
      <c r="S166" s="360">
        <f t="shared" si="23"/>
        <v>10454</v>
      </c>
      <c r="T166" s="360">
        <f t="shared" si="24"/>
        <v>10341.978175383405</v>
      </c>
      <c r="U166" s="360">
        <f t="shared" si="25"/>
        <v>10233.03952025167</v>
      </c>
      <c r="V166" s="360">
        <f t="shared" si="26"/>
        <v>10119.989972473455</v>
      </c>
      <c r="W166" s="360">
        <f t="shared" si="27"/>
        <v>10006.94042469524</v>
      </c>
      <c r="X166" s="360">
        <f t="shared" si="28"/>
        <v>9895.946323240265</v>
      </c>
      <c r="Y166" s="360">
        <f t="shared" si="29"/>
        <v>9781.8690523004298</v>
      </c>
      <c r="Z166" s="360">
        <f t="shared" si="30"/>
        <v>9665.7363350373544</v>
      </c>
      <c r="AA166" s="443">
        <v>0.98886294594552859</v>
      </c>
    </row>
    <row r="167" spans="1:29" x14ac:dyDescent="0.2">
      <c r="A167" s="154" t="s">
        <v>191</v>
      </c>
      <c r="B167" s="354">
        <v>34476</v>
      </c>
      <c r="C167" s="354">
        <v>33866</v>
      </c>
      <c r="D167" s="354">
        <v>35346</v>
      </c>
      <c r="E167" s="354">
        <v>35647</v>
      </c>
      <c r="F167" s="331">
        <v>35886.512913559949</v>
      </c>
      <c r="G167" s="336">
        <v>36109.856178947077</v>
      </c>
      <c r="H167" s="337">
        <v>36323.09341422619</v>
      </c>
      <c r="I167" s="337">
        <v>36522.182207354075</v>
      </c>
      <c r="J167" s="337">
        <v>36707.122558330746</v>
      </c>
      <c r="K167" s="337">
        <v>36890.041703285809</v>
      </c>
      <c r="L167" s="337">
        <v>37068.918436197666</v>
      </c>
      <c r="M167" s="360">
        <f t="shared" si="21"/>
        <v>37276.635773743037</v>
      </c>
      <c r="N167" s="360">
        <f t="shared" si="21"/>
        <v>37485.5170646525</v>
      </c>
      <c r="O167" s="360">
        <f t="shared" si="22"/>
        <v>37695.568831190634</v>
      </c>
      <c r="Q167" s="266">
        <v>536</v>
      </c>
      <c r="R167" s="266" t="s">
        <v>191</v>
      </c>
      <c r="S167" s="360">
        <f t="shared" si="23"/>
        <v>35647</v>
      </c>
      <c r="T167" s="360">
        <f t="shared" si="24"/>
        <v>35886.512913559949</v>
      </c>
      <c r="U167" s="360">
        <f t="shared" si="25"/>
        <v>36109.856178947077</v>
      </c>
      <c r="V167" s="360">
        <f t="shared" si="26"/>
        <v>36323.09341422619</v>
      </c>
      <c r="W167" s="360">
        <f t="shared" si="27"/>
        <v>36522.182207354075</v>
      </c>
      <c r="X167" s="360">
        <f t="shared" si="28"/>
        <v>36707.122558330746</v>
      </c>
      <c r="Y167" s="360">
        <f t="shared" si="29"/>
        <v>36890.041703285809</v>
      </c>
      <c r="Z167" s="360">
        <f t="shared" si="30"/>
        <v>37068.918436197666</v>
      </c>
      <c r="AA167" s="443">
        <v>1.0056035445949925</v>
      </c>
    </row>
    <row r="168" spans="1:29" x14ac:dyDescent="0.2">
      <c r="A168" s="154" t="s">
        <v>192</v>
      </c>
      <c r="B168" s="354">
        <v>4693</v>
      </c>
      <c r="C168" s="354">
        <v>4628</v>
      </c>
      <c r="D168" s="354">
        <v>4644</v>
      </c>
      <c r="E168" s="354">
        <v>4695</v>
      </c>
      <c r="F168" s="331">
        <v>4676.7512416324762</v>
      </c>
      <c r="G168" s="336">
        <v>4660.5301230835667</v>
      </c>
      <c r="H168" s="337">
        <v>4644.3090045346571</v>
      </c>
      <c r="I168" s="337">
        <v>4630.1155258043609</v>
      </c>
      <c r="J168" s="337">
        <v>4616.9358669833719</v>
      </c>
      <c r="K168" s="337">
        <v>4603.7562081623828</v>
      </c>
      <c r="L168" s="337">
        <v>4589.5627294320866</v>
      </c>
      <c r="M168" s="360">
        <f t="shared" si="21"/>
        <v>4574.6951016116018</v>
      </c>
      <c r="N168" s="360">
        <f t="shared" si="21"/>
        <v>4559.8756366271082</v>
      </c>
      <c r="O168" s="360">
        <f t="shared" si="22"/>
        <v>4545.1041784578338</v>
      </c>
      <c r="Q168" s="266">
        <v>538</v>
      </c>
      <c r="R168" s="266" t="s">
        <v>192</v>
      </c>
      <c r="S168" s="360">
        <f t="shared" si="23"/>
        <v>4695</v>
      </c>
      <c r="T168" s="360">
        <f t="shared" si="24"/>
        <v>4676.7512416324762</v>
      </c>
      <c r="U168" s="360">
        <f t="shared" si="25"/>
        <v>4660.5301230835667</v>
      </c>
      <c r="V168" s="360">
        <f t="shared" si="26"/>
        <v>4644.3090045346571</v>
      </c>
      <c r="W168" s="360">
        <f t="shared" si="27"/>
        <v>4630.1155258043609</v>
      </c>
      <c r="X168" s="360">
        <f t="shared" si="28"/>
        <v>4616.9358669833719</v>
      </c>
      <c r="Y168" s="360">
        <f t="shared" si="29"/>
        <v>4603.7562081623828</v>
      </c>
      <c r="Z168" s="360">
        <f t="shared" si="30"/>
        <v>4589.5627294320866</v>
      </c>
      <c r="AA168" s="443">
        <v>0.99676055679005304</v>
      </c>
    </row>
    <row r="169" spans="1:29" x14ac:dyDescent="0.2">
      <c r="A169" s="154" t="s">
        <v>193</v>
      </c>
      <c r="B169" s="354">
        <v>9501</v>
      </c>
      <c r="C169" s="354">
        <v>9330</v>
      </c>
      <c r="D169" s="354">
        <v>9243</v>
      </c>
      <c r="E169" s="354">
        <v>9130</v>
      </c>
      <c r="F169" s="331">
        <v>8986.395657953035</v>
      </c>
      <c r="G169" s="336">
        <v>8844.8139122729281</v>
      </c>
      <c r="H169" s="337">
        <v>8711.3225520602573</v>
      </c>
      <c r="I169" s="337">
        <v>8585.9215773150208</v>
      </c>
      <c r="J169" s="337">
        <v>8466.5883916703606</v>
      </c>
      <c r="K169" s="337">
        <v>8351.3003987594166</v>
      </c>
      <c r="L169" s="337">
        <v>8241.0688967656206</v>
      </c>
      <c r="M169" s="360">
        <f t="shared" si="21"/>
        <v>8121.3537230965931</v>
      </c>
      <c r="N169" s="360">
        <f t="shared" si="21"/>
        <v>8003.3776105840898</v>
      </c>
      <c r="O169" s="360">
        <f t="shared" si="22"/>
        <v>7887.1152964847724</v>
      </c>
      <c r="Q169" s="266">
        <v>541</v>
      </c>
      <c r="R169" s="266" t="s">
        <v>193</v>
      </c>
      <c r="S169" s="360">
        <f t="shared" si="23"/>
        <v>9130</v>
      </c>
      <c r="T169" s="360">
        <f t="shared" si="24"/>
        <v>8986.395657953035</v>
      </c>
      <c r="U169" s="360">
        <f t="shared" si="25"/>
        <v>8844.8139122729281</v>
      </c>
      <c r="V169" s="360">
        <f t="shared" si="26"/>
        <v>8711.3225520602573</v>
      </c>
      <c r="W169" s="360">
        <f t="shared" si="27"/>
        <v>8585.9215773150208</v>
      </c>
      <c r="X169" s="360">
        <f t="shared" si="28"/>
        <v>8466.5883916703606</v>
      </c>
      <c r="Y169" s="360">
        <f t="shared" si="29"/>
        <v>8351.3003987594166</v>
      </c>
      <c r="Z169" s="360">
        <f t="shared" si="30"/>
        <v>8241.0688967656206</v>
      </c>
      <c r="AA169" s="443">
        <v>0.98547334391100505</v>
      </c>
    </row>
    <row r="170" spans="1:29" x14ac:dyDescent="0.2">
      <c r="A170" s="154" t="s">
        <v>194</v>
      </c>
      <c r="B170" s="354">
        <v>43663</v>
      </c>
      <c r="C170" s="354">
        <v>43269</v>
      </c>
      <c r="D170" s="354">
        <v>44458</v>
      </c>
      <c r="E170" s="354">
        <v>44785</v>
      </c>
      <c r="F170" s="331">
        <v>45138.928874402824</v>
      </c>
      <c r="G170" s="336">
        <v>45478.86056168237</v>
      </c>
      <c r="H170" s="337">
        <v>45810.793856320044</v>
      </c>
      <c r="I170" s="337">
        <v>46132.729160155381</v>
      </c>
      <c r="J170" s="337">
        <v>46439.667477787203</v>
      </c>
      <c r="K170" s="337">
        <v>46738.607402777154</v>
      </c>
      <c r="L170" s="337">
        <v>47029.54893512524</v>
      </c>
      <c r="M170" s="360">
        <f t="shared" si="21"/>
        <v>47359.260781829631</v>
      </c>
      <c r="N170" s="360">
        <f t="shared" si="21"/>
        <v>47691.284151912805</v>
      </c>
      <c r="O170" s="360">
        <f t="shared" si="22"/>
        <v>48025.635250859596</v>
      </c>
      <c r="Q170" s="266">
        <v>543</v>
      </c>
      <c r="R170" s="266" t="s">
        <v>194</v>
      </c>
      <c r="S170" s="360">
        <f t="shared" si="23"/>
        <v>44785</v>
      </c>
      <c r="T170" s="360">
        <f t="shared" si="24"/>
        <v>45138.928874402824</v>
      </c>
      <c r="U170" s="360">
        <f t="shared" si="25"/>
        <v>45478.86056168237</v>
      </c>
      <c r="V170" s="360">
        <f t="shared" si="26"/>
        <v>45810.793856320044</v>
      </c>
      <c r="W170" s="360">
        <f t="shared" si="27"/>
        <v>46132.729160155381</v>
      </c>
      <c r="X170" s="360">
        <f t="shared" si="28"/>
        <v>46439.667477787203</v>
      </c>
      <c r="Y170" s="360">
        <f t="shared" si="29"/>
        <v>46738.607402777154</v>
      </c>
      <c r="Z170" s="360">
        <f t="shared" si="30"/>
        <v>47029.54893512524</v>
      </c>
      <c r="AA170" s="443">
        <v>1.00701073801833</v>
      </c>
    </row>
    <row r="171" spans="1:29" x14ac:dyDescent="0.2">
      <c r="A171" s="154" t="s">
        <v>195</v>
      </c>
      <c r="B171" s="354">
        <v>9558</v>
      </c>
      <c r="C171" s="354">
        <v>9491</v>
      </c>
      <c r="D171" s="354">
        <v>9584</v>
      </c>
      <c r="E171" s="354">
        <v>9621</v>
      </c>
      <c r="F171" s="331">
        <v>9632.0229142797616</v>
      </c>
      <c r="G171" s="336">
        <v>9642.0437454431831</v>
      </c>
      <c r="H171" s="337">
        <v>9648.0562441412367</v>
      </c>
      <c r="I171" s="337">
        <v>9654.0687428392885</v>
      </c>
      <c r="J171" s="337">
        <v>9658.0770753046563</v>
      </c>
      <c r="K171" s="337">
        <v>9662.085407770026</v>
      </c>
      <c r="L171" s="337">
        <v>9665.0916571190519</v>
      </c>
      <c r="M171" s="360">
        <f t="shared" si="21"/>
        <v>9671.4073697732911</v>
      </c>
      <c r="N171" s="360">
        <f t="shared" si="21"/>
        <v>9677.7272094681994</v>
      </c>
      <c r="O171" s="360">
        <f t="shared" si="22"/>
        <v>9684.0511789006159</v>
      </c>
      <c r="Q171" s="266">
        <v>545</v>
      </c>
      <c r="R171" s="266" t="s">
        <v>195</v>
      </c>
      <c r="S171" s="360">
        <f t="shared" si="23"/>
        <v>9621</v>
      </c>
      <c r="T171" s="360">
        <f t="shared" si="24"/>
        <v>9632.0229142797616</v>
      </c>
      <c r="U171" s="360">
        <f t="shared" si="25"/>
        <v>9642.0437454431831</v>
      </c>
      <c r="V171" s="360">
        <f t="shared" si="26"/>
        <v>9648.0562441412367</v>
      </c>
      <c r="W171" s="360">
        <f t="shared" si="27"/>
        <v>9654.0687428392885</v>
      </c>
      <c r="X171" s="360">
        <f t="shared" si="28"/>
        <v>9658.0770753046563</v>
      </c>
      <c r="Y171" s="360">
        <f t="shared" si="29"/>
        <v>9662.085407770026</v>
      </c>
      <c r="Z171" s="360">
        <f t="shared" si="30"/>
        <v>9665.0916571190519</v>
      </c>
      <c r="AA171" s="443">
        <v>1.0006534560538376</v>
      </c>
    </row>
    <row r="172" spans="1:29" s="274" customFormat="1" x14ac:dyDescent="0.2">
      <c r="A172" s="271" t="s">
        <v>196</v>
      </c>
      <c r="B172" s="335">
        <v>15882</v>
      </c>
      <c r="C172" s="335">
        <v>15867</v>
      </c>
      <c r="D172" s="335">
        <v>15735</v>
      </c>
      <c r="E172" s="335">
        <v>15669</v>
      </c>
      <c r="F172" s="332">
        <v>15576.681844380404</v>
      </c>
      <c r="G172" s="336">
        <v>15486.37060518732</v>
      </c>
      <c r="H172" s="337">
        <v>15401.076657060517</v>
      </c>
      <c r="I172" s="337">
        <v>15318.793083573486</v>
      </c>
      <c r="J172" s="337">
        <v>15236.509510086455</v>
      </c>
      <c r="K172" s="337">
        <v>15153.222478386167</v>
      </c>
      <c r="L172" s="337">
        <v>15075.956195965418</v>
      </c>
      <c r="M172" s="360">
        <f t="shared" si="21"/>
        <v>14993.088603074522</v>
      </c>
      <c r="N172" s="360">
        <f t="shared" si="21"/>
        <v>14910.676506197429</v>
      </c>
      <c r="O172" s="360">
        <f t="shared" si="22"/>
        <v>14828.717401621754</v>
      </c>
      <c r="P172" s="266"/>
      <c r="Q172" s="266">
        <v>560</v>
      </c>
      <c r="R172" s="266" t="s">
        <v>196</v>
      </c>
      <c r="S172" s="360">
        <f t="shared" si="23"/>
        <v>15669</v>
      </c>
      <c r="T172" s="360">
        <f t="shared" si="24"/>
        <v>15576.681844380404</v>
      </c>
      <c r="U172" s="360">
        <f t="shared" si="25"/>
        <v>15486.37060518732</v>
      </c>
      <c r="V172" s="360">
        <f t="shared" si="26"/>
        <v>15401.076657060517</v>
      </c>
      <c r="W172" s="360">
        <f t="shared" si="27"/>
        <v>15318.793083573486</v>
      </c>
      <c r="X172" s="360">
        <f t="shared" si="28"/>
        <v>15236.509510086455</v>
      </c>
      <c r="Y172" s="360">
        <f t="shared" si="29"/>
        <v>15153.222478386167</v>
      </c>
      <c r="Z172" s="360">
        <f t="shared" si="30"/>
        <v>15075.956195965418</v>
      </c>
      <c r="AA172" s="443">
        <v>0.99450332756252813</v>
      </c>
      <c r="AB172" s="360"/>
      <c r="AC172" s="360"/>
    </row>
    <row r="173" spans="1:29" x14ac:dyDescent="0.2">
      <c r="A173" s="154" t="s">
        <v>197</v>
      </c>
      <c r="B173" s="354">
        <v>1334</v>
      </c>
      <c r="C173" s="354">
        <v>1321</v>
      </c>
      <c r="D173" s="354">
        <v>1317</v>
      </c>
      <c r="E173" s="354">
        <v>1315</v>
      </c>
      <c r="F173" s="331">
        <v>1310</v>
      </c>
      <c r="G173" s="336">
        <v>1305</v>
      </c>
      <c r="H173" s="337">
        <v>1301</v>
      </c>
      <c r="I173" s="337">
        <v>1298</v>
      </c>
      <c r="J173" s="337">
        <v>1295</v>
      </c>
      <c r="K173" s="337">
        <v>1290</v>
      </c>
      <c r="L173" s="337">
        <v>1288</v>
      </c>
      <c r="M173" s="360">
        <f t="shared" si="21"/>
        <v>1284.1888507951537</v>
      </c>
      <c r="N173" s="360">
        <f t="shared" si="21"/>
        <v>1280.3889786541752</v>
      </c>
      <c r="O173" s="360">
        <f t="shared" si="22"/>
        <v>1276.6003502086069</v>
      </c>
      <c r="Q173" s="266">
        <v>561</v>
      </c>
      <c r="R173" s="266" t="s">
        <v>197</v>
      </c>
      <c r="S173" s="360">
        <f t="shared" si="23"/>
        <v>1315</v>
      </c>
      <c r="T173" s="360">
        <f t="shared" si="24"/>
        <v>1310</v>
      </c>
      <c r="U173" s="360">
        <f t="shared" si="25"/>
        <v>1305</v>
      </c>
      <c r="V173" s="360">
        <f t="shared" si="26"/>
        <v>1301</v>
      </c>
      <c r="W173" s="360">
        <f t="shared" si="27"/>
        <v>1298</v>
      </c>
      <c r="X173" s="360">
        <f t="shared" si="28"/>
        <v>1295</v>
      </c>
      <c r="Y173" s="360">
        <f t="shared" si="29"/>
        <v>1290</v>
      </c>
      <c r="Z173" s="360">
        <f t="shared" si="30"/>
        <v>1288</v>
      </c>
      <c r="AA173" s="443">
        <v>0.99704103322605098</v>
      </c>
    </row>
    <row r="174" spans="1:29" x14ac:dyDescent="0.2">
      <c r="A174" s="154" t="s">
        <v>198</v>
      </c>
      <c r="B174" s="354">
        <v>9008</v>
      </c>
      <c r="C174" s="354">
        <v>8951</v>
      </c>
      <c r="D174" s="354">
        <v>8935</v>
      </c>
      <c r="E174" s="354">
        <v>8839</v>
      </c>
      <c r="F174" s="331">
        <v>8763.3063484813883</v>
      </c>
      <c r="G174" s="336">
        <v>8692.6589403973503</v>
      </c>
      <c r="H174" s="337">
        <v>8624.0300296871428</v>
      </c>
      <c r="I174" s="337">
        <v>8558.4288650376802</v>
      </c>
      <c r="J174" s="337">
        <v>8496.8646951358751</v>
      </c>
      <c r="K174" s="337">
        <v>8436.3097739209861</v>
      </c>
      <c r="L174" s="337">
        <v>8381.8103448275851</v>
      </c>
      <c r="M174" s="360">
        <f t="shared" si="21"/>
        <v>8318.4589518223856</v>
      </c>
      <c r="N174" s="360">
        <f t="shared" si="21"/>
        <v>8255.5863812708794</v>
      </c>
      <c r="O174" s="360">
        <f t="shared" si="22"/>
        <v>8193.189014137537</v>
      </c>
      <c r="Q174" s="266">
        <v>562</v>
      </c>
      <c r="R174" s="266" t="s">
        <v>198</v>
      </c>
      <c r="S174" s="360">
        <f t="shared" si="23"/>
        <v>8839</v>
      </c>
      <c r="T174" s="360">
        <f t="shared" si="24"/>
        <v>8763.3063484813883</v>
      </c>
      <c r="U174" s="360">
        <f t="shared" si="25"/>
        <v>8692.6589403973503</v>
      </c>
      <c r="V174" s="360">
        <f t="shared" si="26"/>
        <v>8624.0300296871428</v>
      </c>
      <c r="W174" s="360">
        <f t="shared" si="27"/>
        <v>8558.4288650376802</v>
      </c>
      <c r="X174" s="360">
        <f t="shared" si="28"/>
        <v>8496.8646951358751</v>
      </c>
      <c r="Y174" s="360">
        <f t="shared" si="29"/>
        <v>8436.3097739209861</v>
      </c>
      <c r="Z174" s="360">
        <f t="shared" si="30"/>
        <v>8381.8103448275851</v>
      </c>
      <c r="AA174" s="443">
        <v>0.99244180070904453</v>
      </c>
    </row>
    <row r="175" spans="1:29" x14ac:dyDescent="0.2">
      <c r="A175" s="154" t="s">
        <v>23</v>
      </c>
      <c r="B175" s="354">
        <v>7155</v>
      </c>
      <c r="C175" s="354">
        <v>7185</v>
      </c>
      <c r="D175" s="354">
        <v>7025</v>
      </c>
      <c r="E175" s="354">
        <v>6978</v>
      </c>
      <c r="F175" s="331">
        <v>6895.1210892236386</v>
      </c>
      <c r="G175" s="336">
        <v>6814.263615295481</v>
      </c>
      <c r="H175" s="337">
        <v>6734.4168597914258</v>
      </c>
      <c r="I175" s="337">
        <v>6656.5915411355736</v>
      </c>
      <c r="J175" s="337">
        <v>6582.80909617613</v>
      </c>
      <c r="K175" s="337">
        <v>6514.0802433371964</v>
      </c>
      <c r="L175" s="337">
        <v>6445.3513904982628</v>
      </c>
      <c r="M175" s="360">
        <f t="shared" si="21"/>
        <v>6372.6538340921443</v>
      </c>
      <c r="N175" s="360">
        <f t="shared" si="21"/>
        <v>6300.7762383657819</v>
      </c>
      <c r="O175" s="360">
        <f t="shared" si="22"/>
        <v>6229.7093549269384</v>
      </c>
      <c r="Q175" s="266">
        <v>563</v>
      </c>
      <c r="R175" s="266" t="s">
        <v>23</v>
      </c>
      <c r="S175" s="360">
        <f t="shared" si="23"/>
        <v>6978</v>
      </c>
      <c r="T175" s="360">
        <f t="shared" si="24"/>
        <v>6895.1210892236386</v>
      </c>
      <c r="U175" s="360">
        <f t="shared" si="25"/>
        <v>6814.263615295481</v>
      </c>
      <c r="V175" s="360">
        <f t="shared" si="26"/>
        <v>6734.4168597914258</v>
      </c>
      <c r="W175" s="360">
        <f t="shared" si="27"/>
        <v>6656.5915411355736</v>
      </c>
      <c r="X175" s="360">
        <f t="shared" si="28"/>
        <v>6582.80909617613</v>
      </c>
      <c r="Y175" s="360">
        <f t="shared" si="29"/>
        <v>6514.0802433371964</v>
      </c>
      <c r="Z175" s="360">
        <f t="shared" si="30"/>
        <v>6445.3513904982628</v>
      </c>
      <c r="AA175" s="443">
        <v>0.98872093203276867</v>
      </c>
    </row>
    <row r="176" spans="1:29" x14ac:dyDescent="0.2">
      <c r="A176" s="154" t="s">
        <v>199</v>
      </c>
      <c r="B176" s="354">
        <v>207327</v>
      </c>
      <c r="C176" s="354">
        <v>208198</v>
      </c>
      <c r="D176" s="354">
        <v>211848</v>
      </c>
      <c r="E176" s="354">
        <v>214633</v>
      </c>
      <c r="F176" s="331">
        <v>216344.46649780718</v>
      </c>
      <c r="G176" s="336">
        <v>217961.29896573562</v>
      </c>
      <c r="H176" s="337">
        <v>219488.53112877885</v>
      </c>
      <c r="I176" s="337">
        <v>220946.29788691111</v>
      </c>
      <c r="J176" s="337">
        <v>222336.61273012974</v>
      </c>
      <c r="K176" s="337">
        <v>223656.45542343869</v>
      </c>
      <c r="L176" s="337">
        <v>224895.75851685079</v>
      </c>
      <c r="M176" s="360">
        <f t="shared" si="21"/>
        <v>226401.46040857644</v>
      </c>
      <c r="N176" s="360">
        <f t="shared" si="21"/>
        <v>227917.24314042862</v>
      </c>
      <c r="O176" s="360">
        <f t="shared" si="22"/>
        <v>229443.17420474312</v>
      </c>
      <c r="Q176" s="266">
        <v>564</v>
      </c>
      <c r="R176" s="266" t="s">
        <v>199</v>
      </c>
      <c r="S176" s="360">
        <f t="shared" si="23"/>
        <v>214633</v>
      </c>
      <c r="T176" s="360">
        <f t="shared" si="24"/>
        <v>216344.46649780718</v>
      </c>
      <c r="U176" s="360">
        <f t="shared" si="25"/>
        <v>217961.29896573562</v>
      </c>
      <c r="V176" s="360">
        <f t="shared" si="26"/>
        <v>219488.53112877885</v>
      </c>
      <c r="W176" s="360">
        <f t="shared" si="27"/>
        <v>220946.29788691111</v>
      </c>
      <c r="X176" s="360">
        <f t="shared" si="28"/>
        <v>222336.61273012974</v>
      </c>
      <c r="Y176" s="360">
        <f t="shared" si="29"/>
        <v>223656.45542343869</v>
      </c>
      <c r="Z176" s="360">
        <f t="shared" si="30"/>
        <v>224895.75851685079</v>
      </c>
      <c r="AA176" s="443">
        <v>1.0066951102219779</v>
      </c>
    </row>
    <row r="177" spans="1:27" x14ac:dyDescent="0.2">
      <c r="A177" s="154" t="s">
        <v>200</v>
      </c>
      <c r="B177" s="354">
        <v>6552</v>
      </c>
      <c r="C177" s="354">
        <v>6506</v>
      </c>
      <c r="D177" s="354">
        <v>6457</v>
      </c>
      <c r="E177" s="354">
        <v>6409</v>
      </c>
      <c r="F177" s="331">
        <v>6309.3888799871811</v>
      </c>
      <c r="G177" s="336">
        <v>6211.8315975003998</v>
      </c>
      <c r="H177" s="337">
        <v>6113.2473962506001</v>
      </c>
      <c r="I177" s="337">
        <v>6020.8247075789131</v>
      </c>
      <c r="J177" s="337">
        <v>5927.375100144207</v>
      </c>
      <c r="K177" s="337">
        <v>5842.140842813651</v>
      </c>
      <c r="L177" s="337">
        <v>5756.9065854830951</v>
      </c>
      <c r="M177" s="360">
        <f t="shared" si="21"/>
        <v>5669.3326643098117</v>
      </c>
      <c r="N177" s="360">
        <f t="shared" si="21"/>
        <v>5583.0909154682813</v>
      </c>
      <c r="O177" s="360">
        <f t="shared" si="22"/>
        <v>5498.161073985807</v>
      </c>
      <c r="Q177" s="266">
        <v>309</v>
      </c>
      <c r="R177" s="266" t="s">
        <v>200</v>
      </c>
      <c r="S177" s="360">
        <f t="shared" si="23"/>
        <v>6409</v>
      </c>
      <c r="T177" s="360">
        <f t="shared" si="24"/>
        <v>6309.3888799871811</v>
      </c>
      <c r="U177" s="360">
        <f t="shared" si="25"/>
        <v>6211.8315975003998</v>
      </c>
      <c r="V177" s="360">
        <f t="shared" si="26"/>
        <v>6113.2473962506001</v>
      </c>
      <c r="W177" s="360">
        <f t="shared" si="27"/>
        <v>6020.8247075789131</v>
      </c>
      <c r="X177" s="360">
        <f t="shared" si="28"/>
        <v>5927.375100144207</v>
      </c>
      <c r="Y177" s="360">
        <f t="shared" si="29"/>
        <v>5842.140842813651</v>
      </c>
      <c r="Z177" s="360">
        <f t="shared" si="30"/>
        <v>5756.9065854830951</v>
      </c>
      <c r="AA177" s="443">
        <v>0.98478802463216719</v>
      </c>
    </row>
    <row r="178" spans="1:27" x14ac:dyDescent="0.2">
      <c r="A178" s="154" t="s">
        <v>201</v>
      </c>
      <c r="B178" s="354">
        <v>2861</v>
      </c>
      <c r="C178" s="354">
        <v>2788</v>
      </c>
      <c r="D178" s="354">
        <v>2750</v>
      </c>
      <c r="E178" s="354">
        <v>2726</v>
      </c>
      <c r="F178" s="331">
        <v>2685.9117647058824</v>
      </c>
      <c r="G178" s="336">
        <v>2647.8279411764706</v>
      </c>
      <c r="H178" s="337">
        <v>2611.748529411765</v>
      </c>
      <c r="I178" s="337">
        <v>2577.6735294117652</v>
      </c>
      <c r="J178" s="337">
        <v>2544.6007352941183</v>
      </c>
      <c r="K178" s="337">
        <v>2514.53455882353</v>
      </c>
      <c r="L178" s="337">
        <v>2485.4705882352946</v>
      </c>
      <c r="M178" s="360">
        <f t="shared" si="21"/>
        <v>2452.8887708405719</v>
      </c>
      <c r="N178" s="360">
        <f t="shared" si="21"/>
        <v>2420.7340656513879</v>
      </c>
      <c r="O178" s="360">
        <f t="shared" si="22"/>
        <v>2389.0008736910522</v>
      </c>
      <c r="Q178" s="266">
        <v>576</v>
      </c>
      <c r="R178" s="266" t="s">
        <v>201</v>
      </c>
      <c r="S178" s="360">
        <f t="shared" si="23"/>
        <v>2726</v>
      </c>
      <c r="T178" s="360">
        <f t="shared" si="24"/>
        <v>2685.9117647058824</v>
      </c>
      <c r="U178" s="360">
        <f t="shared" si="25"/>
        <v>2647.8279411764706</v>
      </c>
      <c r="V178" s="360">
        <f t="shared" si="26"/>
        <v>2611.748529411765</v>
      </c>
      <c r="W178" s="360">
        <f t="shared" si="27"/>
        <v>2577.6735294117652</v>
      </c>
      <c r="X178" s="360">
        <f t="shared" si="28"/>
        <v>2544.6007352941183</v>
      </c>
      <c r="Y178" s="360">
        <f t="shared" si="29"/>
        <v>2514.53455882353</v>
      </c>
      <c r="Z178" s="360">
        <f t="shared" si="30"/>
        <v>2485.4705882352946</v>
      </c>
      <c r="AA178" s="443">
        <v>0.98689108712493101</v>
      </c>
    </row>
    <row r="179" spans="1:27" x14ac:dyDescent="0.2">
      <c r="A179" s="154" t="s">
        <v>202</v>
      </c>
      <c r="B179" s="354">
        <v>10922</v>
      </c>
      <c r="C179" s="354">
        <v>10906</v>
      </c>
      <c r="D179" s="354">
        <v>11138</v>
      </c>
      <c r="E179" s="354">
        <v>11236</v>
      </c>
      <c r="F179" s="331">
        <v>11287.755419075145</v>
      </c>
      <c r="G179" s="336">
        <v>11338.49602601156</v>
      </c>
      <c r="H179" s="337">
        <v>11386.192196531792</v>
      </c>
      <c r="I179" s="337">
        <v>11429.829118497111</v>
      </c>
      <c r="J179" s="337">
        <v>11467.37716763006</v>
      </c>
      <c r="K179" s="337">
        <v>11500.865968208094</v>
      </c>
      <c r="L179" s="337">
        <v>11530.295520231215</v>
      </c>
      <c r="M179" s="360">
        <f t="shared" si="21"/>
        <v>11572.965455987594</v>
      </c>
      <c r="N179" s="360">
        <f t="shared" si="21"/>
        <v>11615.793299528234</v>
      </c>
      <c r="O179" s="360">
        <f t="shared" si="22"/>
        <v>11658.779635219335</v>
      </c>
      <c r="Q179" s="266">
        <v>577</v>
      </c>
      <c r="R179" s="266" t="s">
        <v>202</v>
      </c>
      <c r="S179" s="360">
        <f t="shared" si="23"/>
        <v>11236</v>
      </c>
      <c r="T179" s="360">
        <f t="shared" si="24"/>
        <v>11287.755419075145</v>
      </c>
      <c r="U179" s="360">
        <f t="shared" si="25"/>
        <v>11338.49602601156</v>
      </c>
      <c r="V179" s="360">
        <f t="shared" si="26"/>
        <v>11386.192196531792</v>
      </c>
      <c r="W179" s="360">
        <f t="shared" si="27"/>
        <v>11429.829118497111</v>
      </c>
      <c r="X179" s="360">
        <f t="shared" si="28"/>
        <v>11467.37716763006</v>
      </c>
      <c r="Y179" s="360">
        <f t="shared" si="29"/>
        <v>11500.865968208094</v>
      </c>
      <c r="Z179" s="360">
        <f t="shared" si="30"/>
        <v>11530.295520231215</v>
      </c>
      <c r="AA179" s="443">
        <v>1.003700680150089</v>
      </c>
    </row>
    <row r="180" spans="1:27" x14ac:dyDescent="0.2">
      <c r="A180" s="154" t="s">
        <v>203</v>
      </c>
      <c r="B180" s="354">
        <v>3235</v>
      </c>
      <c r="C180" s="354">
        <v>3180</v>
      </c>
      <c r="D180" s="354">
        <v>3100</v>
      </c>
      <c r="E180" s="354">
        <v>3037</v>
      </c>
      <c r="F180" s="331">
        <v>2995.7737556561087</v>
      </c>
      <c r="G180" s="336">
        <v>2956.5106658047835</v>
      </c>
      <c r="H180" s="337">
        <v>2919.2107304460246</v>
      </c>
      <c r="I180" s="337">
        <v>2883.8739495798322</v>
      </c>
      <c r="J180" s="337">
        <v>2849.5187459599224</v>
      </c>
      <c r="K180" s="337">
        <v>2815.163542340013</v>
      </c>
      <c r="L180" s="337">
        <v>2782.7714932126696</v>
      </c>
      <c r="M180" s="360">
        <f t="shared" si="21"/>
        <v>2748.2342908338828</v>
      </c>
      <c r="N180" s="360">
        <f t="shared" si="21"/>
        <v>2714.1257324709854</v>
      </c>
      <c r="O180" s="360">
        <f t="shared" si="22"/>
        <v>2680.4404981883804</v>
      </c>
      <c r="Q180" s="266">
        <v>578</v>
      </c>
      <c r="R180" s="266" t="s">
        <v>203</v>
      </c>
      <c r="S180" s="360">
        <f t="shared" si="23"/>
        <v>3037</v>
      </c>
      <c r="T180" s="360">
        <f t="shared" si="24"/>
        <v>2995.7737556561087</v>
      </c>
      <c r="U180" s="360">
        <f t="shared" si="25"/>
        <v>2956.5106658047835</v>
      </c>
      <c r="V180" s="360">
        <f t="shared" si="26"/>
        <v>2919.2107304460246</v>
      </c>
      <c r="W180" s="360">
        <f t="shared" si="27"/>
        <v>2883.8739495798322</v>
      </c>
      <c r="X180" s="360">
        <f t="shared" si="28"/>
        <v>2849.5187459599224</v>
      </c>
      <c r="Y180" s="360">
        <f t="shared" si="29"/>
        <v>2815.163542340013</v>
      </c>
      <c r="Z180" s="360">
        <f t="shared" si="30"/>
        <v>2782.7714932126696</v>
      </c>
      <c r="AA180" s="443">
        <v>0.98758891901004997</v>
      </c>
    </row>
    <row r="181" spans="1:27" x14ac:dyDescent="0.2">
      <c r="A181" s="271" t="s">
        <v>382</v>
      </c>
      <c r="B181" s="354">
        <v>15105</v>
      </c>
      <c r="C181" s="354">
        <v>14960</v>
      </c>
      <c r="D181" s="354">
        <v>14991</v>
      </c>
      <c r="E181" s="354">
        <v>14999</v>
      </c>
      <c r="F181" s="331">
        <v>14931.432394271498</v>
      </c>
      <c r="G181" s="336">
        <v>14865.881731997579</v>
      </c>
      <c r="H181" s="337">
        <v>14803.356484905533</v>
      </c>
      <c r="I181" s="337">
        <v>14744.865124722652</v>
      </c>
      <c r="J181" s="337">
        <v>14686.37376453977</v>
      </c>
      <c r="K181" s="337">
        <v>14627.882404356889</v>
      </c>
      <c r="L181" s="337">
        <v>14565.357157264843</v>
      </c>
      <c r="M181" s="360">
        <f t="shared" si="21"/>
        <v>14504.440506802475</v>
      </c>
      <c r="N181" s="360">
        <f t="shared" si="21"/>
        <v>14443.778627868431</v>
      </c>
      <c r="O181" s="360">
        <f t="shared" si="22"/>
        <v>14383.370454932498</v>
      </c>
      <c r="Q181" s="266">
        <v>445</v>
      </c>
      <c r="R181" s="266" t="s">
        <v>382</v>
      </c>
      <c r="S181" s="360">
        <f t="shared" si="23"/>
        <v>14999</v>
      </c>
      <c r="T181" s="360">
        <f t="shared" si="24"/>
        <v>14931.432394271498</v>
      </c>
      <c r="U181" s="360">
        <f t="shared" si="25"/>
        <v>14865.881731997579</v>
      </c>
      <c r="V181" s="360">
        <f t="shared" si="26"/>
        <v>14803.356484905533</v>
      </c>
      <c r="W181" s="360">
        <f t="shared" si="27"/>
        <v>14744.865124722652</v>
      </c>
      <c r="X181" s="360">
        <f t="shared" si="28"/>
        <v>14686.37376453977</v>
      </c>
      <c r="Y181" s="360">
        <f t="shared" si="29"/>
        <v>14627.882404356889</v>
      </c>
      <c r="Z181" s="360">
        <f t="shared" si="30"/>
        <v>14565.357157264843</v>
      </c>
      <c r="AA181" s="443">
        <v>0.99581770293686311</v>
      </c>
    </row>
    <row r="182" spans="1:27" x14ac:dyDescent="0.2">
      <c r="A182" s="154" t="s">
        <v>204</v>
      </c>
      <c r="B182" s="354">
        <v>4655</v>
      </c>
      <c r="C182" s="354">
        <v>4491</v>
      </c>
      <c r="D182" s="354">
        <v>4438</v>
      </c>
      <c r="E182" s="354">
        <v>4366</v>
      </c>
      <c r="F182" s="331">
        <v>4284.206077221841</v>
      </c>
      <c r="G182" s="336">
        <v>4208.3970756225726</v>
      </c>
      <c r="H182" s="337">
        <v>4133.5855608864522</v>
      </c>
      <c r="I182" s="337">
        <v>4059.7715330134797</v>
      </c>
      <c r="J182" s="337">
        <v>3991.9424263193973</v>
      </c>
      <c r="K182" s="337">
        <v>3925.1108064884629</v>
      </c>
      <c r="L182" s="337">
        <v>3860.2741603838253</v>
      </c>
      <c r="M182" s="360">
        <f t="shared" si="21"/>
        <v>3792.9780976937964</v>
      </c>
      <c r="N182" s="360">
        <f t="shared" si="21"/>
        <v>3726.8552055780383</v>
      </c>
      <c r="O182" s="360">
        <f t="shared" si="22"/>
        <v>3661.885032183332</v>
      </c>
      <c r="Q182" s="266">
        <v>580</v>
      </c>
      <c r="R182" s="266" t="s">
        <v>204</v>
      </c>
      <c r="S182" s="360">
        <f t="shared" si="23"/>
        <v>4366</v>
      </c>
      <c r="T182" s="360">
        <f t="shared" si="24"/>
        <v>4284.206077221841</v>
      </c>
      <c r="U182" s="360">
        <f t="shared" si="25"/>
        <v>4208.3970756225726</v>
      </c>
      <c r="V182" s="360">
        <f t="shared" si="26"/>
        <v>4133.5855608864522</v>
      </c>
      <c r="W182" s="360">
        <f t="shared" si="27"/>
        <v>4059.7715330134797</v>
      </c>
      <c r="X182" s="360">
        <f t="shared" si="28"/>
        <v>3991.9424263193973</v>
      </c>
      <c r="Y182" s="360">
        <f t="shared" si="29"/>
        <v>3925.1108064884629</v>
      </c>
      <c r="Z182" s="360">
        <f t="shared" si="30"/>
        <v>3860.2741603838253</v>
      </c>
      <c r="AA182" s="443">
        <v>0.98256702506245364</v>
      </c>
    </row>
    <row r="183" spans="1:27" x14ac:dyDescent="0.2">
      <c r="A183" s="154" t="s">
        <v>205</v>
      </c>
      <c r="B183" s="354">
        <v>6352</v>
      </c>
      <c r="C183" s="354">
        <v>6243</v>
      </c>
      <c r="D183" s="354">
        <v>6240</v>
      </c>
      <c r="E183" s="354">
        <v>6123</v>
      </c>
      <c r="F183" s="331">
        <v>6053.9097301717093</v>
      </c>
      <c r="G183" s="336">
        <v>5988.8246933769424</v>
      </c>
      <c r="H183" s="337">
        <v>5925.7422730989374</v>
      </c>
      <c r="I183" s="337">
        <v>5862.6598528209324</v>
      </c>
      <c r="J183" s="337">
        <v>5801.5800490596903</v>
      </c>
      <c r="K183" s="337">
        <v>5744.505478331972</v>
      </c>
      <c r="L183" s="337">
        <v>5690.4348323793965</v>
      </c>
      <c r="M183" s="360">
        <f t="shared" si="21"/>
        <v>5631.1874262584315</v>
      </c>
      <c r="N183" s="360">
        <f t="shared" si="21"/>
        <v>5572.5568895394472</v>
      </c>
      <c r="O183" s="360">
        <f t="shared" si="22"/>
        <v>5514.536799530144</v>
      </c>
      <c r="Q183" s="266">
        <v>581</v>
      </c>
      <c r="R183" s="266" t="s">
        <v>205</v>
      </c>
      <c r="S183" s="360">
        <f t="shared" si="23"/>
        <v>6123</v>
      </c>
      <c r="T183" s="360">
        <f t="shared" si="24"/>
        <v>6053.9097301717093</v>
      </c>
      <c r="U183" s="360">
        <f t="shared" si="25"/>
        <v>5988.8246933769424</v>
      </c>
      <c r="V183" s="360">
        <f t="shared" si="26"/>
        <v>5925.7422730989374</v>
      </c>
      <c r="W183" s="360">
        <f t="shared" si="27"/>
        <v>5862.6598528209324</v>
      </c>
      <c r="X183" s="360">
        <f t="shared" si="28"/>
        <v>5801.5800490596903</v>
      </c>
      <c r="Y183" s="360">
        <f t="shared" si="29"/>
        <v>5744.505478331972</v>
      </c>
      <c r="Z183" s="360">
        <f t="shared" si="30"/>
        <v>5690.4348323793965</v>
      </c>
      <c r="AA183" s="443">
        <v>0.98958824626479525</v>
      </c>
    </row>
    <row r="184" spans="1:27" x14ac:dyDescent="0.2">
      <c r="A184" s="271" t="s">
        <v>206</v>
      </c>
      <c r="B184" s="354">
        <v>11174</v>
      </c>
      <c r="C184" s="354">
        <v>10978</v>
      </c>
      <c r="D184" s="354">
        <v>11206</v>
      </c>
      <c r="E184" s="354">
        <v>11225</v>
      </c>
      <c r="F184" s="331">
        <v>11243.956092791752</v>
      </c>
      <c r="G184" s="336">
        <v>11264.907563772109</v>
      </c>
      <c r="H184" s="337">
        <v>11282.865967469559</v>
      </c>
      <c r="I184" s="337">
        <v>11295.835925695494</v>
      </c>
      <c r="J184" s="337">
        <v>11305.812816638521</v>
      </c>
      <c r="K184" s="337">
        <v>11314.792018487247</v>
      </c>
      <c r="L184" s="337">
        <v>11323.771220335973</v>
      </c>
      <c r="M184" s="360">
        <f t="shared" si="21"/>
        <v>11337.953172687467</v>
      </c>
      <c r="N184" s="360">
        <f t="shared" si="21"/>
        <v>11352.152886592827</v>
      </c>
      <c r="O184" s="360">
        <f t="shared" si="22"/>
        <v>11366.370384296719</v>
      </c>
      <c r="Q184" s="266">
        <v>599</v>
      </c>
      <c r="R184" s="266" t="s">
        <v>206</v>
      </c>
      <c r="S184" s="360">
        <f t="shared" si="23"/>
        <v>11225</v>
      </c>
      <c r="T184" s="360">
        <f t="shared" si="24"/>
        <v>11243.956092791752</v>
      </c>
      <c r="U184" s="360">
        <f t="shared" si="25"/>
        <v>11264.907563772109</v>
      </c>
      <c r="V184" s="360">
        <f t="shared" si="26"/>
        <v>11282.865967469559</v>
      </c>
      <c r="W184" s="360">
        <f t="shared" si="27"/>
        <v>11295.835925695494</v>
      </c>
      <c r="X184" s="360">
        <f t="shared" si="28"/>
        <v>11305.812816638521</v>
      </c>
      <c r="Y184" s="360">
        <f t="shared" si="29"/>
        <v>11314.792018487247</v>
      </c>
      <c r="Z184" s="360">
        <f t="shared" si="30"/>
        <v>11323.771220335973</v>
      </c>
      <c r="AA184" s="443">
        <v>1.001252405411196</v>
      </c>
    </row>
    <row r="185" spans="1:27" x14ac:dyDescent="0.2">
      <c r="A185" s="154" t="s">
        <v>207</v>
      </c>
      <c r="B185" s="354">
        <v>931</v>
      </c>
      <c r="C185" s="354">
        <v>945</v>
      </c>
      <c r="D185" s="354">
        <v>947</v>
      </c>
      <c r="E185" s="354">
        <v>912</v>
      </c>
      <c r="F185" s="331">
        <v>908.03478260869565</v>
      </c>
      <c r="G185" s="336">
        <v>904.0695652173913</v>
      </c>
      <c r="H185" s="337">
        <v>902.08695652173913</v>
      </c>
      <c r="I185" s="337">
        <v>899.11304347826092</v>
      </c>
      <c r="J185" s="337">
        <v>893.1652173913044</v>
      </c>
      <c r="K185" s="337">
        <v>891.18260869565222</v>
      </c>
      <c r="L185" s="337">
        <v>886.22608695652173</v>
      </c>
      <c r="M185" s="360">
        <f t="shared" si="21"/>
        <v>882.60508995188957</v>
      </c>
      <c r="N185" s="360">
        <f t="shared" si="21"/>
        <v>878.99888783932897</v>
      </c>
      <c r="O185" s="360">
        <f t="shared" si="22"/>
        <v>875.40742016896081</v>
      </c>
      <c r="Q185" s="266">
        <v>583</v>
      </c>
      <c r="R185" s="266" t="s">
        <v>207</v>
      </c>
      <c r="S185" s="360">
        <f t="shared" si="23"/>
        <v>912</v>
      </c>
      <c r="T185" s="360">
        <f t="shared" si="24"/>
        <v>908.03478260869565</v>
      </c>
      <c r="U185" s="360">
        <f t="shared" si="25"/>
        <v>904.0695652173913</v>
      </c>
      <c r="V185" s="360">
        <f t="shared" si="26"/>
        <v>902.08695652173913</v>
      </c>
      <c r="W185" s="360">
        <f t="shared" si="27"/>
        <v>899.11304347826092</v>
      </c>
      <c r="X185" s="360">
        <f t="shared" si="28"/>
        <v>893.1652173913044</v>
      </c>
      <c r="Y185" s="360">
        <f t="shared" si="29"/>
        <v>891.18260869565222</v>
      </c>
      <c r="Z185" s="360">
        <f t="shared" si="30"/>
        <v>886.22608695652173</v>
      </c>
      <c r="AA185" s="443">
        <v>0.99591413855005395</v>
      </c>
    </row>
    <row r="186" spans="1:27" x14ac:dyDescent="0.2">
      <c r="A186" s="154" t="s">
        <v>208</v>
      </c>
      <c r="B186" s="354">
        <v>3304</v>
      </c>
      <c r="C186" s="354">
        <v>3242</v>
      </c>
      <c r="D186" s="354">
        <v>3262</v>
      </c>
      <c r="E186" s="354">
        <v>3253</v>
      </c>
      <c r="F186" s="331">
        <v>3195.6370631612695</v>
      </c>
      <c r="G186" s="336">
        <v>3143.4889387624235</v>
      </c>
      <c r="H186" s="337">
        <v>3095.5126643154854</v>
      </c>
      <c r="I186" s="337">
        <v>3048.5793523565244</v>
      </c>
      <c r="J186" s="337">
        <v>3004.7749278614938</v>
      </c>
      <c r="K186" s="337">
        <v>2959.9275408784861</v>
      </c>
      <c r="L186" s="337">
        <v>2917.1660788714325</v>
      </c>
      <c r="M186" s="360">
        <f t="shared" si="21"/>
        <v>2872.109533662313</v>
      </c>
      <c r="N186" s="360">
        <f t="shared" si="21"/>
        <v>2827.7489009282785</v>
      </c>
      <c r="O186" s="360">
        <f t="shared" si="22"/>
        <v>2784.0734320828424</v>
      </c>
      <c r="Q186" s="266">
        <v>854</v>
      </c>
      <c r="R186" s="266" t="s">
        <v>208</v>
      </c>
      <c r="S186" s="360">
        <f t="shared" si="23"/>
        <v>3253</v>
      </c>
      <c r="T186" s="360">
        <f t="shared" si="24"/>
        <v>3195.6370631612695</v>
      </c>
      <c r="U186" s="360">
        <f t="shared" si="25"/>
        <v>3143.4889387624235</v>
      </c>
      <c r="V186" s="360">
        <f t="shared" si="26"/>
        <v>3095.5126643154854</v>
      </c>
      <c r="W186" s="360">
        <f t="shared" si="27"/>
        <v>3048.5793523565244</v>
      </c>
      <c r="X186" s="360">
        <f t="shared" si="28"/>
        <v>3004.7749278614938</v>
      </c>
      <c r="Y186" s="360">
        <f t="shared" si="29"/>
        <v>2959.9275408784861</v>
      </c>
      <c r="Z186" s="360">
        <f t="shared" si="30"/>
        <v>2917.1660788714325</v>
      </c>
      <c r="AA186" s="443">
        <v>0.98455468629795995</v>
      </c>
    </row>
    <row r="187" spans="1:27" x14ac:dyDescent="0.2">
      <c r="A187" s="154" t="s">
        <v>209</v>
      </c>
      <c r="B187" s="354">
        <v>2706</v>
      </c>
      <c r="C187" s="354">
        <v>2757</v>
      </c>
      <c r="D187" s="354">
        <v>2653</v>
      </c>
      <c r="E187" s="354">
        <v>2578</v>
      </c>
      <c r="F187" s="331">
        <v>2526.5005875440656</v>
      </c>
      <c r="G187" s="336">
        <v>2472.9815902859377</v>
      </c>
      <c r="H187" s="337">
        <v>2421.4821778300038</v>
      </c>
      <c r="I187" s="337">
        <v>2372.002350176263</v>
      </c>
      <c r="J187" s="337">
        <v>2324.5421073247157</v>
      </c>
      <c r="K187" s="337">
        <v>2279.101449275362</v>
      </c>
      <c r="L187" s="337">
        <v>2233.6607912260083</v>
      </c>
      <c r="M187" s="360">
        <f t="shared" si="21"/>
        <v>2188.3772189878177</v>
      </c>
      <c r="N187" s="360">
        <f t="shared" si="21"/>
        <v>2144.0116921049053</v>
      </c>
      <c r="O187" s="360">
        <f t="shared" si="22"/>
        <v>2100.545598810736</v>
      </c>
      <c r="Q187" s="266">
        <v>584</v>
      </c>
      <c r="R187" s="266" t="s">
        <v>209</v>
      </c>
      <c r="S187" s="360">
        <f t="shared" si="23"/>
        <v>2578</v>
      </c>
      <c r="T187" s="360">
        <f t="shared" si="24"/>
        <v>2526.5005875440656</v>
      </c>
      <c r="U187" s="360">
        <f t="shared" si="25"/>
        <v>2472.9815902859377</v>
      </c>
      <c r="V187" s="360">
        <f t="shared" si="26"/>
        <v>2421.4821778300038</v>
      </c>
      <c r="W187" s="360">
        <f t="shared" si="27"/>
        <v>2372.002350176263</v>
      </c>
      <c r="X187" s="360">
        <f t="shared" si="28"/>
        <v>2324.5421073247157</v>
      </c>
      <c r="Y187" s="360">
        <f t="shared" si="29"/>
        <v>2279.101449275362</v>
      </c>
      <c r="Z187" s="360">
        <f t="shared" si="30"/>
        <v>2233.6607912260083</v>
      </c>
      <c r="AA187" s="443">
        <v>0.97972674614871347</v>
      </c>
    </row>
    <row r="188" spans="1:27" x14ac:dyDescent="0.2">
      <c r="A188" s="154" t="s">
        <v>210</v>
      </c>
      <c r="B188" s="354">
        <v>1654</v>
      </c>
      <c r="C188" s="354">
        <v>1640</v>
      </c>
      <c r="D188" s="354">
        <v>1600</v>
      </c>
      <c r="E188" s="354">
        <v>1577</v>
      </c>
      <c r="F188" s="331">
        <v>1553.8532227185706</v>
      </c>
      <c r="G188" s="336">
        <v>1531.7128270580727</v>
      </c>
      <c r="H188" s="337">
        <v>1512.5915762603699</v>
      </c>
      <c r="I188" s="337">
        <v>1497.4958519463942</v>
      </c>
      <c r="J188" s="337">
        <v>1483.4065092533501</v>
      </c>
      <c r="K188" s="337">
        <v>1468.3107849393743</v>
      </c>
      <c r="L188" s="337">
        <v>1456.2342054881938</v>
      </c>
      <c r="M188" s="360">
        <f t="shared" si="21"/>
        <v>1439.7579865321977</v>
      </c>
      <c r="N188" s="360">
        <f t="shared" si="21"/>
        <v>1423.4681838752165</v>
      </c>
      <c r="O188" s="360">
        <f t="shared" si="22"/>
        <v>1407.3626883539382</v>
      </c>
      <c r="Q188" s="266">
        <v>588</v>
      </c>
      <c r="R188" s="266" t="s">
        <v>210</v>
      </c>
      <c r="S188" s="360">
        <f t="shared" si="23"/>
        <v>1577</v>
      </c>
      <c r="T188" s="360">
        <f t="shared" si="24"/>
        <v>1553.8532227185706</v>
      </c>
      <c r="U188" s="360">
        <f t="shared" si="25"/>
        <v>1531.7128270580727</v>
      </c>
      <c r="V188" s="360">
        <f t="shared" si="26"/>
        <v>1512.5915762603699</v>
      </c>
      <c r="W188" s="360">
        <f t="shared" si="27"/>
        <v>1497.4958519463942</v>
      </c>
      <c r="X188" s="360">
        <f t="shared" si="28"/>
        <v>1483.4065092533501</v>
      </c>
      <c r="Y188" s="360">
        <f t="shared" si="29"/>
        <v>1468.3107849393743</v>
      </c>
      <c r="Z188" s="360">
        <f t="shared" si="30"/>
        <v>1456.2342054881938</v>
      </c>
      <c r="AA188" s="443">
        <v>0.9886857355129407</v>
      </c>
    </row>
    <row r="189" spans="1:27" x14ac:dyDescent="0.2">
      <c r="A189" s="154" t="s">
        <v>211</v>
      </c>
      <c r="B189" s="354">
        <v>3772</v>
      </c>
      <c r="C189" s="354">
        <v>3750</v>
      </c>
      <c r="D189" s="354">
        <v>3651</v>
      </c>
      <c r="E189" s="354">
        <v>3596</v>
      </c>
      <c r="F189" s="331">
        <v>3559.5673603504929</v>
      </c>
      <c r="G189" s="336">
        <v>3524.1193866374592</v>
      </c>
      <c r="H189" s="337">
        <v>3491.6254107338445</v>
      </c>
      <c r="I189" s="337">
        <v>3454.2081051478644</v>
      </c>
      <c r="J189" s="337">
        <v>3420.7294633077768</v>
      </c>
      <c r="K189" s="337">
        <v>3386.2661555312161</v>
      </c>
      <c r="L189" s="337">
        <v>3355.7415115005479</v>
      </c>
      <c r="M189" s="360">
        <f t="shared" si="21"/>
        <v>3322.7555714806572</v>
      </c>
      <c r="N189" s="360">
        <f t="shared" si="21"/>
        <v>3290.0938734309143</v>
      </c>
      <c r="O189" s="360">
        <f t="shared" si="22"/>
        <v>3257.7532301492829</v>
      </c>
      <c r="Q189" s="266">
        <v>592</v>
      </c>
      <c r="R189" s="266" t="s">
        <v>211</v>
      </c>
      <c r="S189" s="360">
        <f t="shared" si="23"/>
        <v>3596</v>
      </c>
      <c r="T189" s="360">
        <f t="shared" si="24"/>
        <v>3559.5673603504929</v>
      </c>
      <c r="U189" s="360">
        <f t="shared" si="25"/>
        <v>3524.1193866374592</v>
      </c>
      <c r="V189" s="360">
        <f t="shared" si="26"/>
        <v>3491.6254107338445</v>
      </c>
      <c r="W189" s="360">
        <f t="shared" si="27"/>
        <v>3454.2081051478644</v>
      </c>
      <c r="X189" s="360">
        <f t="shared" si="28"/>
        <v>3420.7294633077768</v>
      </c>
      <c r="Y189" s="360">
        <f t="shared" si="29"/>
        <v>3386.2661555312161</v>
      </c>
      <c r="Z189" s="360">
        <f t="shared" si="30"/>
        <v>3355.7415115005479</v>
      </c>
      <c r="AA189" s="443">
        <v>0.99017029771010556</v>
      </c>
    </row>
    <row r="190" spans="1:27" x14ac:dyDescent="0.2">
      <c r="A190" s="154" t="s">
        <v>212</v>
      </c>
      <c r="B190" s="354">
        <v>17375</v>
      </c>
      <c r="C190" s="354">
        <v>17152</v>
      </c>
      <c r="D190" s="354">
        <v>17077</v>
      </c>
      <c r="E190" s="354">
        <v>17050</v>
      </c>
      <c r="F190" s="331">
        <v>16782.706857938381</v>
      </c>
      <c r="G190" s="336">
        <v>16523.669874704923</v>
      </c>
      <c r="H190" s="337">
        <v>16277.0171297137</v>
      </c>
      <c r="I190" s="337">
        <v>16037.588523697115</v>
      </c>
      <c r="J190" s="337">
        <v>15807.448096362208</v>
      </c>
      <c r="K190" s="337">
        <v>15584.531808001939</v>
      </c>
      <c r="L190" s="337">
        <v>15368.839658616309</v>
      </c>
      <c r="M190" s="360">
        <f t="shared" si="21"/>
        <v>15142.608564666589</v>
      </c>
      <c r="N190" s="360">
        <f t="shared" si="21"/>
        <v>14919.707618535867</v>
      </c>
      <c r="O190" s="360">
        <f t="shared" si="22"/>
        <v>14700.087800063819</v>
      </c>
      <c r="Q190" s="266">
        <v>593</v>
      </c>
      <c r="R190" s="266" t="s">
        <v>212</v>
      </c>
      <c r="S190" s="360">
        <f t="shared" si="23"/>
        <v>17050</v>
      </c>
      <c r="T190" s="360">
        <f t="shared" si="24"/>
        <v>16782.706857938381</v>
      </c>
      <c r="U190" s="360">
        <f t="shared" si="25"/>
        <v>16523.669874704923</v>
      </c>
      <c r="V190" s="360">
        <f t="shared" si="26"/>
        <v>16277.0171297137</v>
      </c>
      <c r="W190" s="360">
        <f t="shared" si="27"/>
        <v>16037.588523697115</v>
      </c>
      <c r="X190" s="360">
        <f t="shared" si="28"/>
        <v>15807.448096362208</v>
      </c>
      <c r="Y190" s="360">
        <f t="shared" si="29"/>
        <v>15584.531808001939</v>
      </c>
      <c r="Z190" s="360">
        <f t="shared" si="30"/>
        <v>15368.839658616309</v>
      </c>
      <c r="AA190" s="443">
        <v>0.98527988456025783</v>
      </c>
    </row>
    <row r="191" spans="1:27" x14ac:dyDescent="0.2">
      <c r="A191" s="154" t="s">
        <v>213</v>
      </c>
      <c r="B191" s="354">
        <v>4321</v>
      </c>
      <c r="C191" s="354">
        <v>4310</v>
      </c>
      <c r="D191" s="354">
        <v>4140</v>
      </c>
      <c r="E191" s="354">
        <v>4073</v>
      </c>
      <c r="F191" s="331">
        <v>4001.2115055079557</v>
      </c>
      <c r="G191" s="336">
        <v>3931.4171358629133</v>
      </c>
      <c r="H191" s="337">
        <v>3861.6227662178708</v>
      </c>
      <c r="I191" s="337">
        <v>3797.8107711138314</v>
      </c>
      <c r="J191" s="337">
        <v>3735.9929008567933</v>
      </c>
      <c r="K191" s="337">
        <v>3678.1632802937575</v>
      </c>
      <c r="L191" s="337">
        <v>3622.3277845777234</v>
      </c>
      <c r="M191" s="360">
        <f t="shared" si="21"/>
        <v>3562.1542137110596</v>
      </c>
      <c r="N191" s="360">
        <f t="shared" si="21"/>
        <v>3502.9802372616268</v>
      </c>
      <c r="O191" s="360">
        <f t="shared" si="22"/>
        <v>3444.7892501155097</v>
      </c>
      <c r="Q191" s="266">
        <v>595</v>
      </c>
      <c r="R191" s="266" t="s">
        <v>213</v>
      </c>
      <c r="S191" s="360">
        <f t="shared" si="23"/>
        <v>4073</v>
      </c>
      <c r="T191" s="360">
        <f t="shared" si="24"/>
        <v>4001.2115055079557</v>
      </c>
      <c r="U191" s="360">
        <f t="shared" si="25"/>
        <v>3931.4171358629133</v>
      </c>
      <c r="V191" s="360">
        <f t="shared" si="26"/>
        <v>3861.6227662178708</v>
      </c>
      <c r="W191" s="360">
        <f t="shared" si="27"/>
        <v>3797.8107711138314</v>
      </c>
      <c r="X191" s="360">
        <f t="shared" si="28"/>
        <v>3735.9929008567933</v>
      </c>
      <c r="Y191" s="360">
        <f t="shared" si="29"/>
        <v>3678.1632802937575</v>
      </c>
      <c r="Z191" s="360">
        <f t="shared" si="30"/>
        <v>3622.3277845777234</v>
      </c>
      <c r="AA191" s="443">
        <v>0.98338814860354262</v>
      </c>
    </row>
    <row r="192" spans="1:27" x14ac:dyDescent="0.2">
      <c r="A192" s="154" t="s">
        <v>214</v>
      </c>
      <c r="B192" s="354">
        <v>19066</v>
      </c>
      <c r="C192" s="354">
        <v>18978</v>
      </c>
      <c r="D192" s="354">
        <v>19207</v>
      </c>
      <c r="E192" s="354">
        <v>19475</v>
      </c>
      <c r="F192" s="331">
        <v>19393.354648694545</v>
      </c>
      <c r="G192" s="336">
        <v>19309.642326469962</v>
      </c>
      <c r="H192" s="337">
        <v>19222.829547866695</v>
      </c>
      <c r="I192" s="337">
        <v>19140.150711101676</v>
      </c>
      <c r="J192" s="337">
        <v>19058.505359796221</v>
      </c>
      <c r="K192" s="337">
        <v>18975.826523031203</v>
      </c>
      <c r="L192" s="337">
        <v>18898.315113564</v>
      </c>
      <c r="M192" s="360">
        <f t="shared" si="21"/>
        <v>18817.337652087805</v>
      </c>
      <c r="N192" s="360">
        <f t="shared" si="21"/>
        <v>18736.707171240712</v>
      </c>
      <c r="O192" s="360">
        <f t="shared" si="22"/>
        <v>18656.422184244126</v>
      </c>
      <c r="Q192" s="266">
        <v>598</v>
      </c>
      <c r="R192" s="266" t="s">
        <v>214</v>
      </c>
      <c r="S192" s="360">
        <f t="shared" si="23"/>
        <v>19475</v>
      </c>
      <c r="T192" s="360">
        <f t="shared" si="24"/>
        <v>19393.354648694545</v>
      </c>
      <c r="U192" s="360">
        <f t="shared" si="25"/>
        <v>19309.642326469962</v>
      </c>
      <c r="V192" s="360">
        <f t="shared" si="26"/>
        <v>19222.829547866695</v>
      </c>
      <c r="W192" s="360">
        <f t="shared" si="27"/>
        <v>19140.150711101676</v>
      </c>
      <c r="X192" s="360">
        <f t="shared" si="28"/>
        <v>19058.505359796221</v>
      </c>
      <c r="Y192" s="360">
        <f t="shared" si="29"/>
        <v>18975.826523031203</v>
      </c>
      <c r="Z192" s="360">
        <f t="shared" si="30"/>
        <v>18898.315113564</v>
      </c>
      <c r="AA192" s="443">
        <v>0.99571509624061272</v>
      </c>
    </row>
    <row r="193" spans="1:29" x14ac:dyDescent="0.2">
      <c r="A193" s="154" t="s">
        <v>215</v>
      </c>
      <c r="B193" s="354">
        <v>3931</v>
      </c>
      <c r="C193" s="354">
        <v>3867</v>
      </c>
      <c r="D193" s="354">
        <v>3786</v>
      </c>
      <c r="E193" s="354">
        <v>3739</v>
      </c>
      <c r="F193" s="331">
        <v>3679.0641196900883</v>
      </c>
      <c r="G193" s="336">
        <v>3624.1228960726694</v>
      </c>
      <c r="H193" s="337">
        <v>3569.18167245525</v>
      </c>
      <c r="I193" s="337">
        <v>3519.2351055303238</v>
      </c>
      <c r="J193" s="337">
        <v>3469.2885386053972</v>
      </c>
      <c r="K193" s="337">
        <v>3420.3409030189691</v>
      </c>
      <c r="L193" s="337">
        <v>3376.3879241250338</v>
      </c>
      <c r="M193" s="360">
        <f t="shared" si="21"/>
        <v>3327.5417838905078</v>
      </c>
      <c r="N193" s="360">
        <f t="shared" si="21"/>
        <v>3279.4022998428386</v>
      </c>
      <c r="O193" s="360">
        <f t="shared" si="22"/>
        <v>3231.9592488003368</v>
      </c>
      <c r="Q193" s="266">
        <v>601</v>
      </c>
      <c r="R193" s="266" t="s">
        <v>215</v>
      </c>
      <c r="S193" s="360">
        <f t="shared" si="23"/>
        <v>3739</v>
      </c>
      <c r="T193" s="360">
        <f t="shared" si="24"/>
        <v>3679.0641196900883</v>
      </c>
      <c r="U193" s="360">
        <f t="shared" si="25"/>
        <v>3624.1228960726694</v>
      </c>
      <c r="V193" s="360">
        <f t="shared" si="26"/>
        <v>3569.18167245525</v>
      </c>
      <c r="W193" s="360">
        <f t="shared" si="27"/>
        <v>3519.2351055303238</v>
      </c>
      <c r="X193" s="360">
        <f t="shared" si="28"/>
        <v>3469.2885386053972</v>
      </c>
      <c r="Y193" s="360">
        <f t="shared" si="29"/>
        <v>3420.3409030189691</v>
      </c>
      <c r="Z193" s="360">
        <f t="shared" si="30"/>
        <v>3376.3879241250338</v>
      </c>
      <c r="AA193" s="443">
        <v>0.98553301891482625</v>
      </c>
    </row>
    <row r="194" spans="1:29" x14ac:dyDescent="0.2">
      <c r="A194" s="154" t="s">
        <v>216</v>
      </c>
      <c r="B194" s="354">
        <v>19803</v>
      </c>
      <c r="C194" s="354">
        <v>19698</v>
      </c>
      <c r="D194" s="354">
        <v>20405</v>
      </c>
      <c r="E194" s="354">
        <v>20763</v>
      </c>
      <c r="F194" s="331">
        <v>20924.452532112799</v>
      </c>
      <c r="G194" s="336">
        <v>21081.817658349326</v>
      </c>
      <c r="H194" s="337">
        <v>21232.029824302375</v>
      </c>
      <c r="I194" s="337">
        <v>21374.067178502875</v>
      </c>
      <c r="J194" s="337">
        <v>21508.951572419897</v>
      </c>
      <c r="K194" s="337">
        <v>21635.661154584373</v>
      </c>
      <c r="L194" s="337">
        <v>21753.174073527236</v>
      </c>
      <c r="M194" s="360">
        <f t="shared" si="21"/>
        <v>21898.437706532386</v>
      </c>
      <c r="N194" s="360">
        <f t="shared" si="21"/>
        <v>22044.671382943732</v>
      </c>
      <c r="O194" s="360">
        <f t="shared" si="22"/>
        <v>22191.881580529938</v>
      </c>
      <c r="Q194" s="266">
        <v>604</v>
      </c>
      <c r="R194" s="266" t="s">
        <v>216</v>
      </c>
      <c r="S194" s="360">
        <f t="shared" si="23"/>
        <v>20763</v>
      </c>
      <c r="T194" s="360">
        <f t="shared" si="24"/>
        <v>20924.452532112799</v>
      </c>
      <c r="U194" s="360">
        <f t="shared" si="25"/>
        <v>21081.817658349326</v>
      </c>
      <c r="V194" s="360">
        <f t="shared" si="26"/>
        <v>21232.029824302375</v>
      </c>
      <c r="W194" s="360">
        <f t="shared" si="27"/>
        <v>21374.067178502875</v>
      </c>
      <c r="X194" s="360">
        <f t="shared" si="28"/>
        <v>21508.951572419897</v>
      </c>
      <c r="Y194" s="360">
        <f t="shared" si="29"/>
        <v>21635.661154584373</v>
      </c>
      <c r="Z194" s="360">
        <f t="shared" si="30"/>
        <v>21753.174073527236</v>
      </c>
      <c r="AA194" s="443">
        <v>1.0066778132016114</v>
      </c>
    </row>
    <row r="195" spans="1:29" x14ac:dyDescent="0.2">
      <c r="A195" s="154" t="s">
        <v>217</v>
      </c>
      <c r="B195" s="354">
        <v>4201</v>
      </c>
      <c r="C195" s="354">
        <v>4110</v>
      </c>
      <c r="D195" s="354">
        <v>4084</v>
      </c>
      <c r="E195" s="354">
        <v>4064</v>
      </c>
      <c r="F195" s="331">
        <v>4004.1756487025946</v>
      </c>
      <c r="G195" s="336">
        <v>3946.3792415169655</v>
      </c>
      <c r="H195" s="337">
        <v>3893.6526946107779</v>
      </c>
      <c r="I195" s="337">
        <v>3838.8982035928138</v>
      </c>
      <c r="J195" s="337">
        <v>3783.1297405189616</v>
      </c>
      <c r="K195" s="337">
        <v>3731.4171656686622</v>
      </c>
      <c r="L195" s="337">
        <v>3678.6906187624745</v>
      </c>
      <c r="M195" s="360">
        <f t="shared" si="21"/>
        <v>3626.7134895101908</v>
      </c>
      <c r="N195" s="360">
        <f t="shared" si="21"/>
        <v>3575.4707579676601</v>
      </c>
      <c r="O195" s="360">
        <f t="shared" si="22"/>
        <v>3524.9520476480725</v>
      </c>
      <c r="Q195" s="266">
        <v>607</v>
      </c>
      <c r="R195" s="266" t="s">
        <v>217</v>
      </c>
      <c r="S195" s="360">
        <f t="shared" si="23"/>
        <v>4064</v>
      </c>
      <c r="T195" s="360">
        <f t="shared" si="24"/>
        <v>4004.1756487025946</v>
      </c>
      <c r="U195" s="360">
        <f t="shared" si="25"/>
        <v>3946.3792415169655</v>
      </c>
      <c r="V195" s="360">
        <f t="shared" si="26"/>
        <v>3893.6526946107779</v>
      </c>
      <c r="W195" s="360">
        <f t="shared" si="27"/>
        <v>3838.8982035928138</v>
      </c>
      <c r="X195" s="360">
        <f t="shared" si="28"/>
        <v>3783.1297405189616</v>
      </c>
      <c r="Y195" s="360">
        <f t="shared" si="29"/>
        <v>3731.4171656686622</v>
      </c>
      <c r="Z195" s="360">
        <f t="shared" si="30"/>
        <v>3678.6906187624745</v>
      </c>
      <c r="AA195" s="443">
        <v>0.98587075276534974</v>
      </c>
    </row>
    <row r="196" spans="1:29" x14ac:dyDescent="0.2">
      <c r="A196" s="154" t="s">
        <v>218</v>
      </c>
      <c r="B196" s="354">
        <v>2063</v>
      </c>
      <c r="C196" s="354">
        <v>2035</v>
      </c>
      <c r="D196" s="354">
        <v>1980</v>
      </c>
      <c r="E196" s="354">
        <v>1943</v>
      </c>
      <c r="F196" s="331">
        <v>1915.4676113360324</v>
      </c>
      <c r="G196" s="336">
        <v>1890.88512145749</v>
      </c>
      <c r="H196" s="337">
        <v>1865.3193319838058</v>
      </c>
      <c r="I196" s="337">
        <v>1839.7535425101216</v>
      </c>
      <c r="J196" s="337">
        <v>1816.1543522267209</v>
      </c>
      <c r="K196" s="337">
        <v>1793.5384615384617</v>
      </c>
      <c r="L196" s="337">
        <v>1769.9392712550607</v>
      </c>
      <c r="M196" s="360">
        <f t="shared" si="21"/>
        <v>1746.5083110330761</v>
      </c>
      <c r="N196" s="360">
        <f t="shared" si="21"/>
        <v>1723.3875365365795</v>
      </c>
      <c r="O196" s="360">
        <f t="shared" si="22"/>
        <v>1700.572841438584</v>
      </c>
      <c r="Q196" s="266">
        <v>608</v>
      </c>
      <c r="R196" s="266" t="s">
        <v>218</v>
      </c>
      <c r="S196" s="360">
        <f t="shared" si="23"/>
        <v>1943</v>
      </c>
      <c r="T196" s="360">
        <f t="shared" si="24"/>
        <v>1915.4676113360324</v>
      </c>
      <c r="U196" s="360">
        <f t="shared" si="25"/>
        <v>1890.88512145749</v>
      </c>
      <c r="V196" s="360">
        <f t="shared" si="26"/>
        <v>1865.3193319838058</v>
      </c>
      <c r="W196" s="360">
        <f t="shared" si="27"/>
        <v>1839.7535425101216</v>
      </c>
      <c r="X196" s="360">
        <f t="shared" si="28"/>
        <v>1816.1543522267209</v>
      </c>
      <c r="Y196" s="360">
        <f t="shared" si="29"/>
        <v>1793.5384615384617</v>
      </c>
      <c r="Z196" s="360">
        <f t="shared" si="30"/>
        <v>1769.9392712550607</v>
      </c>
      <c r="AA196" s="443">
        <v>0.98676171516022138</v>
      </c>
    </row>
    <row r="197" spans="1:29" s="274" customFormat="1" x14ac:dyDescent="0.2">
      <c r="A197" s="271" t="s">
        <v>219</v>
      </c>
      <c r="B197" s="335">
        <v>83684</v>
      </c>
      <c r="C197" s="335">
        <v>83265</v>
      </c>
      <c r="D197" s="335">
        <v>83205</v>
      </c>
      <c r="E197" s="335">
        <v>83106</v>
      </c>
      <c r="F197" s="332">
        <v>82731.807235623768</v>
      </c>
      <c r="G197" s="336">
        <v>82356.608576719635</v>
      </c>
      <c r="H197" s="337">
        <v>81975.37455064815</v>
      </c>
      <c r="I197" s="337">
        <v>81594.140524576665</v>
      </c>
      <c r="J197" s="337">
        <v>81212.906498505181</v>
      </c>
      <c r="K197" s="337">
        <v>80829.660683377908</v>
      </c>
      <c r="L197" s="337">
        <v>80446.414868250635</v>
      </c>
      <c r="M197" s="360">
        <f t="shared" si="21"/>
        <v>80073.486892577246</v>
      </c>
      <c r="N197" s="360">
        <f t="shared" si="21"/>
        <v>79702.287710850331</v>
      </c>
      <c r="O197" s="360">
        <f t="shared" si="22"/>
        <v>79332.809308845419</v>
      </c>
      <c r="P197" s="266"/>
      <c r="Q197" s="266">
        <v>609</v>
      </c>
      <c r="R197" s="266" t="s">
        <v>219</v>
      </c>
      <c r="S197" s="360">
        <f t="shared" si="23"/>
        <v>83106</v>
      </c>
      <c r="T197" s="360">
        <f t="shared" si="24"/>
        <v>82731.807235623768</v>
      </c>
      <c r="U197" s="360">
        <f t="shared" si="25"/>
        <v>82356.608576719635</v>
      </c>
      <c r="V197" s="360">
        <f t="shared" si="26"/>
        <v>81975.37455064815</v>
      </c>
      <c r="W197" s="360">
        <f t="shared" si="27"/>
        <v>81594.140524576665</v>
      </c>
      <c r="X197" s="360">
        <f t="shared" si="28"/>
        <v>81212.906498505181</v>
      </c>
      <c r="Y197" s="360">
        <f t="shared" si="29"/>
        <v>80829.660683377908</v>
      </c>
      <c r="Z197" s="360">
        <f t="shared" si="30"/>
        <v>80446.414868250635</v>
      </c>
      <c r="AA197" s="443">
        <v>0.99536426854715465</v>
      </c>
      <c r="AB197" s="360"/>
      <c r="AC197" s="360"/>
    </row>
    <row r="198" spans="1:29" x14ac:dyDescent="0.2">
      <c r="A198" s="154" t="s">
        <v>220</v>
      </c>
      <c r="B198" s="354">
        <v>5070</v>
      </c>
      <c r="C198" s="354">
        <v>4964</v>
      </c>
      <c r="D198" s="354">
        <v>5011</v>
      </c>
      <c r="E198" s="354">
        <v>4973</v>
      </c>
      <c r="F198" s="331">
        <v>4973.9826121319893</v>
      </c>
      <c r="G198" s="336">
        <v>4978.8956727919376</v>
      </c>
      <c r="H198" s="337">
        <v>4986.7565698478556</v>
      </c>
      <c r="I198" s="337">
        <v>4998.5479154317318</v>
      </c>
      <c r="J198" s="337">
        <v>5008.3740367516284</v>
      </c>
      <c r="K198" s="337">
        <v>5021.1479944674948</v>
      </c>
      <c r="L198" s="337">
        <v>5036.8697885793299</v>
      </c>
      <c r="M198" s="360">
        <f t="shared" si="21"/>
        <v>5046.0629015155719</v>
      </c>
      <c r="N198" s="360">
        <f t="shared" si="21"/>
        <v>5055.2727933897268</v>
      </c>
      <c r="O198" s="360">
        <f t="shared" si="22"/>
        <v>5064.4994948261074</v>
      </c>
      <c r="Q198" s="266">
        <v>611</v>
      </c>
      <c r="R198" s="266" t="s">
        <v>220</v>
      </c>
      <c r="S198" s="360">
        <f t="shared" si="23"/>
        <v>4973</v>
      </c>
      <c r="T198" s="360">
        <f t="shared" si="24"/>
        <v>4973.9826121319893</v>
      </c>
      <c r="U198" s="360">
        <f t="shared" si="25"/>
        <v>4978.8956727919376</v>
      </c>
      <c r="V198" s="360">
        <f t="shared" si="26"/>
        <v>4986.7565698478556</v>
      </c>
      <c r="W198" s="360">
        <f t="shared" si="27"/>
        <v>4998.5479154317318</v>
      </c>
      <c r="X198" s="360">
        <f t="shared" si="28"/>
        <v>5008.3740367516284</v>
      </c>
      <c r="Y198" s="360">
        <f t="shared" si="29"/>
        <v>5021.1479944674948</v>
      </c>
      <c r="Z198" s="360">
        <f t="shared" si="30"/>
        <v>5036.8697885793299</v>
      </c>
      <c r="AA198" s="443">
        <v>1.0018251639057827</v>
      </c>
    </row>
    <row r="199" spans="1:29" x14ac:dyDescent="0.2">
      <c r="A199" s="154" t="s">
        <v>221</v>
      </c>
      <c r="B199" s="354">
        <v>50619</v>
      </c>
      <c r="C199" s="354">
        <v>50408</v>
      </c>
      <c r="D199" s="354">
        <v>51232</v>
      </c>
      <c r="E199" s="354">
        <v>51289</v>
      </c>
      <c r="F199" s="331">
        <v>51444.296731847404</v>
      </c>
      <c r="G199" s="336">
        <v>51584.564747709563</v>
      </c>
      <c r="H199" s="337">
        <v>51718.821277177631</v>
      </c>
      <c r="I199" s="337">
        <v>51839.051005059482</v>
      </c>
      <c r="J199" s="337">
        <v>51948.259674552159</v>
      </c>
      <c r="K199" s="337">
        <v>52046.447285655675</v>
      </c>
      <c r="L199" s="337">
        <v>52136.619581567073</v>
      </c>
      <c r="M199" s="360">
        <f t="shared" si="21"/>
        <v>52258.851144282657</v>
      </c>
      <c r="N199" s="360">
        <f t="shared" si="21"/>
        <v>52381.369272468801</v>
      </c>
      <c r="O199" s="360">
        <f t="shared" si="22"/>
        <v>52504.17463796318</v>
      </c>
      <c r="Q199" s="266">
        <v>638</v>
      </c>
      <c r="R199" s="266" t="s">
        <v>221</v>
      </c>
      <c r="S199" s="360">
        <f t="shared" si="23"/>
        <v>51289</v>
      </c>
      <c r="T199" s="360">
        <f t="shared" si="24"/>
        <v>51444.296731847404</v>
      </c>
      <c r="U199" s="360">
        <f t="shared" si="25"/>
        <v>51584.564747709563</v>
      </c>
      <c r="V199" s="360">
        <f t="shared" si="26"/>
        <v>51718.821277177631</v>
      </c>
      <c r="W199" s="360">
        <f t="shared" si="27"/>
        <v>51839.051005059482</v>
      </c>
      <c r="X199" s="360">
        <f t="shared" si="28"/>
        <v>51948.259674552159</v>
      </c>
      <c r="Y199" s="360">
        <f t="shared" si="29"/>
        <v>52046.447285655675</v>
      </c>
      <c r="Z199" s="360">
        <f t="shared" si="30"/>
        <v>52136.619581567073</v>
      </c>
      <c r="AA199" s="443">
        <v>1.0023444474094518</v>
      </c>
    </row>
    <row r="200" spans="1:29" x14ac:dyDescent="0.2">
      <c r="A200" s="154" t="s">
        <v>222</v>
      </c>
      <c r="B200" s="354">
        <v>3117</v>
      </c>
      <c r="C200" s="354">
        <v>3005</v>
      </c>
      <c r="D200" s="354">
        <v>2999</v>
      </c>
      <c r="E200" s="354">
        <v>2923</v>
      </c>
      <c r="F200" s="331">
        <v>2867.773273789076</v>
      </c>
      <c r="G200" s="336">
        <v>2815.5589144623841</v>
      </c>
      <c r="H200" s="337">
        <v>2768.3651666094124</v>
      </c>
      <c r="I200" s="337">
        <v>2721.1714187564412</v>
      </c>
      <c r="J200" s="337">
        <v>2677.9941600824459</v>
      </c>
      <c r="K200" s="337">
        <v>2635.8210237031949</v>
      </c>
      <c r="L200" s="337">
        <v>2595.6561319134316</v>
      </c>
      <c r="M200" s="360">
        <f t="shared" si="21"/>
        <v>2551.9884063096688</v>
      </c>
      <c r="N200" s="360">
        <f t="shared" si="21"/>
        <v>2509.0553197191252</v>
      </c>
      <c r="O200" s="360">
        <f t="shared" si="22"/>
        <v>2466.8445130259488</v>
      </c>
      <c r="Q200" s="266">
        <v>614</v>
      </c>
      <c r="R200" s="266" t="s">
        <v>222</v>
      </c>
      <c r="S200" s="360">
        <f t="shared" si="23"/>
        <v>2923</v>
      </c>
      <c r="T200" s="360">
        <f t="shared" si="24"/>
        <v>2867.773273789076</v>
      </c>
      <c r="U200" s="360">
        <f t="shared" si="25"/>
        <v>2815.5589144623841</v>
      </c>
      <c r="V200" s="360">
        <f t="shared" si="26"/>
        <v>2768.3651666094124</v>
      </c>
      <c r="W200" s="360">
        <f t="shared" si="27"/>
        <v>2721.1714187564412</v>
      </c>
      <c r="X200" s="360">
        <f t="shared" si="28"/>
        <v>2677.9941600824459</v>
      </c>
      <c r="Y200" s="360">
        <f t="shared" si="29"/>
        <v>2635.8210237031949</v>
      </c>
      <c r="Z200" s="360">
        <f t="shared" si="30"/>
        <v>2595.6561319134316</v>
      </c>
      <c r="AA200" s="443">
        <v>0.9831766137791248</v>
      </c>
    </row>
    <row r="201" spans="1:29" x14ac:dyDescent="0.2">
      <c r="A201" s="154" t="s">
        <v>223</v>
      </c>
      <c r="B201" s="354">
        <v>7779</v>
      </c>
      <c r="C201" s="354">
        <v>7623</v>
      </c>
      <c r="D201" s="354">
        <v>7603</v>
      </c>
      <c r="E201" s="354">
        <v>7479</v>
      </c>
      <c r="F201" s="331">
        <v>7386.1861489191351</v>
      </c>
      <c r="G201" s="336">
        <v>7299.360288230585</v>
      </c>
      <c r="H201" s="337">
        <v>7213.5324259407535</v>
      </c>
      <c r="I201" s="337">
        <v>7134.6905524419544</v>
      </c>
      <c r="J201" s="337">
        <v>7056.8466773418741</v>
      </c>
      <c r="K201" s="337">
        <v>6980.9987990392319</v>
      </c>
      <c r="L201" s="337">
        <v>6906.1489191353085</v>
      </c>
      <c r="M201" s="360">
        <f t="shared" ref="M201:N264" si="31">L201*$AA201</f>
        <v>6827.9774568843959</v>
      </c>
      <c r="N201" s="360">
        <f t="shared" si="31"/>
        <v>6750.6908260470536</v>
      </c>
      <c r="O201" s="360">
        <f t="shared" ref="O201:O264" si="32">N201*$AA201</f>
        <v>6674.2790111188006</v>
      </c>
      <c r="Q201" s="266">
        <v>615</v>
      </c>
      <c r="R201" s="266" t="s">
        <v>223</v>
      </c>
      <c r="S201" s="360">
        <f t="shared" ref="S201:S264" si="33">E201</f>
        <v>7479</v>
      </c>
      <c r="T201" s="360">
        <f t="shared" ref="T201:T264" si="34">F201</f>
        <v>7386.1861489191351</v>
      </c>
      <c r="U201" s="360">
        <f t="shared" ref="U201:U264" si="35">G201</f>
        <v>7299.360288230585</v>
      </c>
      <c r="V201" s="360">
        <f t="shared" ref="V201:V264" si="36">H201</f>
        <v>7213.5324259407535</v>
      </c>
      <c r="W201" s="360">
        <f t="shared" ref="W201:W264" si="37">I201</f>
        <v>7134.6905524419544</v>
      </c>
      <c r="X201" s="360">
        <f t="shared" ref="X201:X264" si="38">J201</f>
        <v>7056.8466773418741</v>
      </c>
      <c r="Y201" s="360">
        <f t="shared" ref="Y201:Y264" si="39">K201</f>
        <v>6980.9987990392319</v>
      </c>
      <c r="Z201" s="360">
        <f t="shared" ref="Z201:Z264" si="40">L201</f>
        <v>6906.1489191353085</v>
      </c>
      <c r="AA201" s="443">
        <v>0.98868088957156453</v>
      </c>
    </row>
    <row r="202" spans="1:29" x14ac:dyDescent="0.2">
      <c r="A202" s="154" t="s">
        <v>224</v>
      </c>
      <c r="B202" s="354">
        <v>1833</v>
      </c>
      <c r="C202" s="354">
        <v>1857</v>
      </c>
      <c r="D202" s="354">
        <v>1807</v>
      </c>
      <c r="E202" s="354">
        <v>1781</v>
      </c>
      <c r="F202" s="331">
        <v>1765.812393405344</v>
      </c>
      <c r="G202" s="336">
        <v>1749.6122797043777</v>
      </c>
      <c r="H202" s="337">
        <v>1738.4747015349633</v>
      </c>
      <c r="I202" s="337">
        <v>1727.3371233655489</v>
      </c>
      <c r="J202" s="337">
        <v>1718.2245594087553</v>
      </c>
      <c r="K202" s="337">
        <v>1711.1370096645826</v>
      </c>
      <c r="L202" s="337">
        <v>1705.0619670267201</v>
      </c>
      <c r="M202" s="360">
        <f t="shared" si="31"/>
        <v>1694.4845253312983</v>
      </c>
      <c r="N202" s="360">
        <f t="shared" si="31"/>
        <v>1683.9727013524075</v>
      </c>
      <c r="O202" s="360">
        <f t="shared" si="32"/>
        <v>1673.5260880270878</v>
      </c>
      <c r="Q202" s="266">
        <v>616</v>
      </c>
      <c r="R202" s="266" t="s">
        <v>224</v>
      </c>
      <c r="S202" s="360">
        <f t="shared" si="33"/>
        <v>1781</v>
      </c>
      <c r="T202" s="360">
        <f t="shared" si="34"/>
        <v>1765.812393405344</v>
      </c>
      <c r="U202" s="360">
        <f t="shared" si="35"/>
        <v>1749.6122797043777</v>
      </c>
      <c r="V202" s="360">
        <f t="shared" si="36"/>
        <v>1738.4747015349633</v>
      </c>
      <c r="W202" s="360">
        <f t="shared" si="37"/>
        <v>1727.3371233655489</v>
      </c>
      <c r="X202" s="360">
        <f t="shared" si="38"/>
        <v>1718.2245594087553</v>
      </c>
      <c r="Y202" s="360">
        <f t="shared" si="39"/>
        <v>1711.1370096645826</v>
      </c>
      <c r="Z202" s="360">
        <f t="shared" si="40"/>
        <v>1705.0619670267201</v>
      </c>
      <c r="AA202" s="443">
        <v>0.99379644734327943</v>
      </c>
    </row>
    <row r="203" spans="1:29" x14ac:dyDescent="0.2">
      <c r="A203" s="154" t="s">
        <v>225</v>
      </c>
      <c r="B203" s="354">
        <v>2785</v>
      </c>
      <c r="C203" s="354">
        <v>2739</v>
      </c>
      <c r="D203" s="354">
        <v>2675</v>
      </c>
      <c r="E203" s="354">
        <v>2650</v>
      </c>
      <c r="F203" s="331">
        <v>2600.2871362940277</v>
      </c>
      <c r="G203" s="336">
        <v>2552.6033690658501</v>
      </c>
      <c r="H203" s="337">
        <v>2509.9923430321596</v>
      </c>
      <c r="I203" s="337">
        <v>2471.4395099540584</v>
      </c>
      <c r="J203" s="337">
        <v>2434.9157733537522</v>
      </c>
      <c r="K203" s="337">
        <v>2401.4356814701382</v>
      </c>
      <c r="L203" s="337">
        <v>2369.9846860643188</v>
      </c>
      <c r="M203" s="360">
        <f t="shared" si="31"/>
        <v>2332.4795315961824</v>
      </c>
      <c r="N203" s="360">
        <f t="shared" si="31"/>
        <v>2295.5678985208001</v>
      </c>
      <c r="O203" s="360">
        <f t="shared" si="32"/>
        <v>2259.2403943253653</v>
      </c>
      <c r="Q203" s="266">
        <v>619</v>
      </c>
      <c r="R203" s="266" t="s">
        <v>225</v>
      </c>
      <c r="S203" s="360">
        <f t="shared" si="33"/>
        <v>2650</v>
      </c>
      <c r="T203" s="360">
        <f t="shared" si="34"/>
        <v>2600.2871362940277</v>
      </c>
      <c r="U203" s="360">
        <f t="shared" si="35"/>
        <v>2552.6033690658501</v>
      </c>
      <c r="V203" s="360">
        <f t="shared" si="36"/>
        <v>2509.9923430321596</v>
      </c>
      <c r="W203" s="360">
        <f t="shared" si="37"/>
        <v>2471.4395099540584</v>
      </c>
      <c r="X203" s="360">
        <f t="shared" si="38"/>
        <v>2434.9157733537522</v>
      </c>
      <c r="Y203" s="360">
        <f t="shared" si="39"/>
        <v>2401.4356814701382</v>
      </c>
      <c r="Z203" s="360">
        <f t="shared" si="40"/>
        <v>2369.9846860643188</v>
      </c>
      <c r="AA203" s="443">
        <v>0.98417493805395906</v>
      </c>
    </row>
    <row r="204" spans="1:29" x14ac:dyDescent="0.2">
      <c r="A204" s="154" t="s">
        <v>226</v>
      </c>
      <c r="B204" s="354">
        <v>2491</v>
      </c>
      <c r="C204" s="354">
        <v>2398</v>
      </c>
      <c r="D204" s="354">
        <v>2380</v>
      </c>
      <c r="E204" s="354">
        <v>2359</v>
      </c>
      <c r="F204" s="331">
        <v>2309.4326758147513</v>
      </c>
      <c r="G204" s="336">
        <v>2263.9116638078904</v>
      </c>
      <c r="H204" s="337">
        <v>2221.42538593482</v>
      </c>
      <c r="I204" s="337">
        <v>2181.9738421955403</v>
      </c>
      <c r="J204" s="337">
        <v>2143.5338765008578</v>
      </c>
      <c r="K204" s="337">
        <v>2106.105488850772</v>
      </c>
      <c r="L204" s="337">
        <v>2072.7234133790739</v>
      </c>
      <c r="M204" s="360">
        <f t="shared" si="31"/>
        <v>2034.7696257792286</v>
      </c>
      <c r="N204" s="360">
        <f t="shared" si="31"/>
        <v>1997.5108127157232</v>
      </c>
      <c r="O204" s="360">
        <f t="shared" si="32"/>
        <v>1960.9342484598044</v>
      </c>
      <c r="Q204" s="266">
        <v>620</v>
      </c>
      <c r="R204" s="266" t="s">
        <v>226</v>
      </c>
      <c r="S204" s="360">
        <f t="shared" si="33"/>
        <v>2359</v>
      </c>
      <c r="T204" s="360">
        <f t="shared" si="34"/>
        <v>2309.4326758147513</v>
      </c>
      <c r="U204" s="360">
        <f t="shared" si="35"/>
        <v>2263.9116638078904</v>
      </c>
      <c r="V204" s="360">
        <f t="shared" si="36"/>
        <v>2221.42538593482</v>
      </c>
      <c r="W204" s="360">
        <f t="shared" si="37"/>
        <v>2181.9738421955403</v>
      </c>
      <c r="X204" s="360">
        <f t="shared" si="38"/>
        <v>2143.5338765008578</v>
      </c>
      <c r="Y204" s="360">
        <f t="shared" si="39"/>
        <v>2106.105488850772</v>
      </c>
      <c r="Z204" s="360">
        <f t="shared" si="40"/>
        <v>2072.7234133790739</v>
      </c>
      <c r="AA204" s="443">
        <v>0.98168892802828389</v>
      </c>
    </row>
    <row r="205" spans="1:29" x14ac:dyDescent="0.2">
      <c r="A205" s="154" t="s">
        <v>14</v>
      </c>
      <c r="B205" s="354">
        <v>2137</v>
      </c>
      <c r="C205" s="354">
        <v>2123</v>
      </c>
      <c r="D205" s="354">
        <v>2107</v>
      </c>
      <c r="E205" s="354">
        <v>2108</v>
      </c>
      <c r="F205" s="331">
        <v>2086.6248189280541</v>
      </c>
      <c r="G205" s="336">
        <v>2069.3211009174311</v>
      </c>
      <c r="H205" s="337">
        <v>2052.0173829068081</v>
      </c>
      <c r="I205" s="337">
        <v>2035.731530661516</v>
      </c>
      <c r="J205" s="337">
        <v>2018.4278126508932</v>
      </c>
      <c r="K205" s="337">
        <v>2003.1598261709319</v>
      </c>
      <c r="L205" s="337">
        <v>1988.9097054563013</v>
      </c>
      <c r="M205" s="360">
        <f t="shared" si="31"/>
        <v>1972.4559202839844</v>
      </c>
      <c r="N205" s="360">
        <f t="shared" si="31"/>
        <v>1956.1382534310433</v>
      </c>
      <c r="O205" s="360">
        <f t="shared" si="32"/>
        <v>1939.9555788224334</v>
      </c>
      <c r="Q205" s="266">
        <v>623</v>
      </c>
      <c r="R205" s="266" t="s">
        <v>14</v>
      </c>
      <c r="S205" s="360">
        <f t="shared" si="33"/>
        <v>2108</v>
      </c>
      <c r="T205" s="360">
        <f t="shared" si="34"/>
        <v>2086.6248189280541</v>
      </c>
      <c r="U205" s="360">
        <f t="shared" si="35"/>
        <v>2069.3211009174311</v>
      </c>
      <c r="V205" s="360">
        <f t="shared" si="36"/>
        <v>2052.0173829068081</v>
      </c>
      <c r="W205" s="360">
        <f t="shared" si="37"/>
        <v>2035.731530661516</v>
      </c>
      <c r="X205" s="360">
        <f t="shared" si="38"/>
        <v>2018.4278126508932</v>
      </c>
      <c r="Y205" s="360">
        <f t="shared" si="39"/>
        <v>2003.1598261709319</v>
      </c>
      <c r="Z205" s="360">
        <f t="shared" si="40"/>
        <v>1988.9097054563013</v>
      </c>
      <c r="AA205" s="443">
        <v>0.99172723370639793</v>
      </c>
    </row>
    <row r="206" spans="1:29" x14ac:dyDescent="0.2">
      <c r="A206" s="154" t="s">
        <v>227</v>
      </c>
      <c r="B206" s="354">
        <v>5125</v>
      </c>
      <c r="C206" s="354">
        <v>5092</v>
      </c>
      <c r="D206" s="354">
        <v>5117</v>
      </c>
      <c r="E206" s="354">
        <v>5065</v>
      </c>
      <c r="F206" s="331">
        <v>5022.6993438059253</v>
      </c>
      <c r="G206" s="336">
        <v>4981.4058460926617</v>
      </c>
      <c r="H206" s="337">
        <v>4942.1266653410212</v>
      </c>
      <c r="I206" s="337">
        <v>4902.8474845893807</v>
      </c>
      <c r="J206" s="337">
        <v>4859.5396699144949</v>
      </c>
      <c r="K206" s="337">
        <v>4812.2032213163639</v>
      </c>
      <c r="L206" s="337">
        <v>4763.8596142374217</v>
      </c>
      <c r="M206" s="360">
        <f t="shared" si="31"/>
        <v>4722.3282185579137</v>
      </c>
      <c r="N206" s="360">
        <f t="shared" si="31"/>
        <v>4681.1588941749515</v>
      </c>
      <c r="O206" s="360">
        <f t="shared" si="32"/>
        <v>4640.3484845458361</v>
      </c>
      <c r="Q206" s="266">
        <v>624</v>
      </c>
      <c r="R206" s="266" t="s">
        <v>227</v>
      </c>
      <c r="S206" s="360">
        <f t="shared" si="33"/>
        <v>5065</v>
      </c>
      <c r="T206" s="360">
        <f t="shared" si="34"/>
        <v>5022.6993438059253</v>
      </c>
      <c r="U206" s="360">
        <f t="shared" si="35"/>
        <v>4981.4058460926617</v>
      </c>
      <c r="V206" s="360">
        <f t="shared" si="36"/>
        <v>4942.1266653410212</v>
      </c>
      <c r="W206" s="360">
        <f t="shared" si="37"/>
        <v>4902.8474845893807</v>
      </c>
      <c r="X206" s="360">
        <f t="shared" si="38"/>
        <v>4859.5396699144949</v>
      </c>
      <c r="Y206" s="360">
        <f t="shared" si="39"/>
        <v>4812.2032213163639</v>
      </c>
      <c r="Z206" s="360">
        <f t="shared" si="40"/>
        <v>4763.8596142374217</v>
      </c>
      <c r="AA206" s="443">
        <v>0.99128198581767901</v>
      </c>
    </row>
    <row r="207" spans="1:29" x14ac:dyDescent="0.2">
      <c r="A207" s="154" t="s">
        <v>228</v>
      </c>
      <c r="B207" s="354">
        <v>3051</v>
      </c>
      <c r="C207" s="354">
        <v>3033</v>
      </c>
      <c r="D207" s="354">
        <v>2991</v>
      </c>
      <c r="E207" s="354">
        <v>2980</v>
      </c>
      <c r="F207" s="331">
        <v>2945.6076035302103</v>
      </c>
      <c r="G207" s="336">
        <v>2912.2267481330618</v>
      </c>
      <c r="H207" s="337">
        <v>2879.8574338085541</v>
      </c>
      <c r="I207" s="337">
        <v>2846.4765784114056</v>
      </c>
      <c r="J207" s="337">
        <v>2813.0957230142567</v>
      </c>
      <c r="K207" s="337">
        <v>2779.7148676171078</v>
      </c>
      <c r="L207" s="337">
        <v>2748.3570943652408</v>
      </c>
      <c r="M207" s="360">
        <f t="shared" si="31"/>
        <v>2716.7691053733838</v>
      </c>
      <c r="N207" s="360">
        <f t="shared" si="31"/>
        <v>2685.544170022044</v>
      </c>
      <c r="O207" s="360">
        <f t="shared" si="32"/>
        <v>2654.6781155876606</v>
      </c>
      <c r="Q207" s="266">
        <v>625</v>
      </c>
      <c r="R207" s="266" t="s">
        <v>228</v>
      </c>
      <c r="S207" s="360">
        <f t="shared" si="33"/>
        <v>2980</v>
      </c>
      <c r="T207" s="360">
        <f t="shared" si="34"/>
        <v>2945.6076035302103</v>
      </c>
      <c r="U207" s="360">
        <f t="shared" si="35"/>
        <v>2912.2267481330618</v>
      </c>
      <c r="V207" s="360">
        <f t="shared" si="36"/>
        <v>2879.8574338085541</v>
      </c>
      <c r="W207" s="360">
        <f t="shared" si="37"/>
        <v>2846.4765784114056</v>
      </c>
      <c r="X207" s="360">
        <f t="shared" si="38"/>
        <v>2813.0957230142567</v>
      </c>
      <c r="Y207" s="360">
        <f t="shared" si="39"/>
        <v>2779.7148676171078</v>
      </c>
      <c r="Z207" s="360">
        <f t="shared" si="40"/>
        <v>2748.3570943652408</v>
      </c>
      <c r="AA207" s="443">
        <v>0.98850659215404746</v>
      </c>
    </row>
    <row r="208" spans="1:29" x14ac:dyDescent="0.2">
      <c r="A208" s="154" t="s">
        <v>229</v>
      </c>
      <c r="B208" s="354">
        <v>5033</v>
      </c>
      <c r="C208" s="354">
        <v>4962</v>
      </c>
      <c r="D208" s="354">
        <v>4835</v>
      </c>
      <c r="E208" s="354">
        <v>4756</v>
      </c>
      <c r="F208" s="331">
        <v>4674.3775638342404</v>
      </c>
      <c r="G208" s="336">
        <v>4597.7321054834656</v>
      </c>
      <c r="H208" s="337">
        <v>4523.0774382586851</v>
      </c>
      <c r="I208" s="337">
        <v>4451.408957722896</v>
      </c>
      <c r="J208" s="337">
        <v>4378.7450816241098</v>
      </c>
      <c r="K208" s="337">
        <v>4309.0673922143151</v>
      </c>
      <c r="L208" s="337">
        <v>4241.3804939305146</v>
      </c>
      <c r="M208" s="360">
        <f t="shared" si="31"/>
        <v>4172.5575558904548</v>
      </c>
      <c r="N208" s="360">
        <f t="shared" si="31"/>
        <v>4104.8513761339882</v>
      </c>
      <c r="O208" s="360">
        <f t="shared" si="32"/>
        <v>4038.2438335361012</v>
      </c>
      <c r="Q208" s="266">
        <v>626</v>
      </c>
      <c r="R208" s="266" t="s">
        <v>229</v>
      </c>
      <c r="S208" s="360">
        <f t="shared" si="33"/>
        <v>4756</v>
      </c>
      <c r="T208" s="360">
        <f t="shared" si="34"/>
        <v>4674.3775638342404</v>
      </c>
      <c r="U208" s="360">
        <f t="shared" si="35"/>
        <v>4597.7321054834656</v>
      </c>
      <c r="V208" s="360">
        <f t="shared" si="36"/>
        <v>4523.0774382586851</v>
      </c>
      <c r="W208" s="360">
        <f t="shared" si="37"/>
        <v>4451.408957722896</v>
      </c>
      <c r="X208" s="360">
        <f t="shared" si="38"/>
        <v>4378.7450816241098</v>
      </c>
      <c r="Y208" s="360">
        <f t="shared" si="39"/>
        <v>4309.0673922143151</v>
      </c>
      <c r="Z208" s="360">
        <f t="shared" si="40"/>
        <v>4241.3804939305146</v>
      </c>
      <c r="AA208" s="443">
        <v>0.98377345816095807</v>
      </c>
    </row>
    <row r="209" spans="1:27" x14ac:dyDescent="0.2">
      <c r="A209" s="154" t="s">
        <v>230</v>
      </c>
      <c r="B209" s="354">
        <v>1593</v>
      </c>
      <c r="C209" s="354">
        <v>1541</v>
      </c>
      <c r="D209" s="354">
        <v>1635</v>
      </c>
      <c r="E209" s="354">
        <v>1646</v>
      </c>
      <c r="F209" s="331">
        <v>1643.9425000000001</v>
      </c>
      <c r="G209" s="336">
        <v>1644.9712500000001</v>
      </c>
      <c r="H209" s="337">
        <v>1642.9137500000002</v>
      </c>
      <c r="I209" s="337">
        <v>1640.85625</v>
      </c>
      <c r="J209" s="337">
        <v>1642.9137499999999</v>
      </c>
      <c r="K209" s="337">
        <v>1641.885</v>
      </c>
      <c r="L209" s="337">
        <v>1640.85625</v>
      </c>
      <c r="M209" s="360">
        <f t="shared" si="31"/>
        <v>1640.1234507105203</v>
      </c>
      <c r="N209" s="360">
        <f t="shared" si="31"/>
        <v>1639.3909786860272</v>
      </c>
      <c r="O209" s="360">
        <f t="shared" si="32"/>
        <v>1638.6588337803655</v>
      </c>
      <c r="Q209" s="266">
        <v>630</v>
      </c>
      <c r="R209" s="266" t="s">
        <v>230</v>
      </c>
      <c r="S209" s="360">
        <f t="shared" si="33"/>
        <v>1646</v>
      </c>
      <c r="T209" s="360">
        <f t="shared" si="34"/>
        <v>1643.9425000000001</v>
      </c>
      <c r="U209" s="360">
        <f t="shared" si="35"/>
        <v>1644.9712500000001</v>
      </c>
      <c r="V209" s="360">
        <f t="shared" si="36"/>
        <v>1642.9137500000002</v>
      </c>
      <c r="W209" s="360">
        <f t="shared" si="37"/>
        <v>1640.85625</v>
      </c>
      <c r="X209" s="360">
        <f t="shared" si="38"/>
        <v>1642.9137499999999</v>
      </c>
      <c r="Y209" s="360">
        <f t="shared" si="39"/>
        <v>1641.885</v>
      </c>
      <c r="Z209" s="360">
        <f t="shared" si="40"/>
        <v>1640.85625</v>
      </c>
      <c r="AA209" s="443">
        <v>0.99955340433418238</v>
      </c>
    </row>
    <row r="210" spans="1:27" x14ac:dyDescent="0.2">
      <c r="A210" s="154" t="s">
        <v>231</v>
      </c>
      <c r="B210" s="354">
        <v>1994</v>
      </c>
      <c r="C210" s="354">
        <v>1950</v>
      </c>
      <c r="D210" s="354">
        <v>1963</v>
      </c>
      <c r="E210" s="354">
        <v>1930</v>
      </c>
      <c r="F210" s="331">
        <v>1906.9522326064382</v>
      </c>
      <c r="G210" s="336">
        <v>1886.9106957424713</v>
      </c>
      <c r="H210" s="337">
        <v>1866.8691588785045</v>
      </c>
      <c r="I210" s="337">
        <v>1845.8255451713394</v>
      </c>
      <c r="J210" s="337">
        <v>1824.7819314641742</v>
      </c>
      <c r="K210" s="337">
        <v>1805.7424714434057</v>
      </c>
      <c r="L210" s="337">
        <v>1786.7030114226372</v>
      </c>
      <c r="M210" s="360">
        <f t="shared" si="31"/>
        <v>1767.1198837687175</v>
      </c>
      <c r="N210" s="360">
        <f t="shared" si="31"/>
        <v>1747.7513966489312</v>
      </c>
      <c r="O210" s="360">
        <f t="shared" si="32"/>
        <v>1728.5951974993925</v>
      </c>
      <c r="Q210" s="266">
        <v>631</v>
      </c>
      <c r="R210" s="266" t="s">
        <v>231</v>
      </c>
      <c r="S210" s="360">
        <f t="shared" si="33"/>
        <v>1930</v>
      </c>
      <c r="T210" s="360">
        <f t="shared" si="34"/>
        <v>1906.9522326064382</v>
      </c>
      <c r="U210" s="360">
        <f t="shared" si="35"/>
        <v>1886.9106957424713</v>
      </c>
      <c r="V210" s="360">
        <f t="shared" si="36"/>
        <v>1866.8691588785045</v>
      </c>
      <c r="W210" s="360">
        <f t="shared" si="37"/>
        <v>1845.8255451713394</v>
      </c>
      <c r="X210" s="360">
        <f t="shared" si="38"/>
        <v>1824.7819314641742</v>
      </c>
      <c r="Y210" s="360">
        <f t="shared" si="39"/>
        <v>1805.7424714434057</v>
      </c>
      <c r="Z210" s="360">
        <f t="shared" si="40"/>
        <v>1786.7030114226372</v>
      </c>
      <c r="AA210" s="443">
        <v>0.98903951718404115</v>
      </c>
    </row>
    <row r="211" spans="1:27" x14ac:dyDescent="0.2">
      <c r="A211" s="154" t="s">
        <v>232</v>
      </c>
      <c r="B211" s="354">
        <v>6415</v>
      </c>
      <c r="C211" s="354">
        <v>6319</v>
      </c>
      <c r="D211" s="354">
        <v>6347</v>
      </c>
      <c r="E211" s="354">
        <v>6337</v>
      </c>
      <c r="F211" s="331">
        <v>6284.2592829705509</v>
      </c>
      <c r="G211" s="336">
        <v>6234.5612996158779</v>
      </c>
      <c r="H211" s="337">
        <v>6190.9487836107564</v>
      </c>
      <c r="I211" s="337">
        <v>6149.3647567221524</v>
      </c>
      <c r="J211" s="337">
        <v>6110.8234635083245</v>
      </c>
      <c r="K211" s="337">
        <v>6075.3249039692719</v>
      </c>
      <c r="L211" s="337">
        <v>6044.8975672215129</v>
      </c>
      <c r="M211" s="360">
        <f t="shared" si="31"/>
        <v>6004.2860622864655</v>
      </c>
      <c r="N211" s="360">
        <f t="shared" si="31"/>
        <v>5963.9473980926787</v>
      </c>
      <c r="O211" s="360">
        <f t="shared" si="32"/>
        <v>5923.8797416110601</v>
      </c>
      <c r="Q211" s="266">
        <v>635</v>
      </c>
      <c r="R211" s="266" t="s">
        <v>232</v>
      </c>
      <c r="S211" s="360">
        <f t="shared" si="33"/>
        <v>6337</v>
      </c>
      <c r="T211" s="360">
        <f t="shared" si="34"/>
        <v>6284.2592829705509</v>
      </c>
      <c r="U211" s="360">
        <f t="shared" si="35"/>
        <v>6234.5612996158779</v>
      </c>
      <c r="V211" s="360">
        <f t="shared" si="36"/>
        <v>6190.9487836107564</v>
      </c>
      <c r="W211" s="360">
        <f t="shared" si="37"/>
        <v>6149.3647567221524</v>
      </c>
      <c r="X211" s="360">
        <f t="shared" si="38"/>
        <v>6110.8234635083245</v>
      </c>
      <c r="Y211" s="360">
        <f t="shared" si="39"/>
        <v>6075.3249039692719</v>
      </c>
      <c r="Z211" s="360">
        <f t="shared" si="40"/>
        <v>6044.8975672215129</v>
      </c>
      <c r="AA211" s="443">
        <v>0.99328168848463805</v>
      </c>
    </row>
    <row r="212" spans="1:27" x14ac:dyDescent="0.2">
      <c r="A212" s="154" t="s">
        <v>233</v>
      </c>
      <c r="B212" s="354">
        <v>8229</v>
      </c>
      <c r="C212" s="354">
        <v>8155</v>
      </c>
      <c r="D212" s="354">
        <v>8154</v>
      </c>
      <c r="E212" s="354">
        <v>8130</v>
      </c>
      <c r="F212" s="331">
        <v>8078.4419298681923</v>
      </c>
      <c r="G212" s="336">
        <v>8030.9276299428002</v>
      </c>
      <c r="H212" s="337">
        <v>7984.4242725690119</v>
      </c>
      <c r="I212" s="337">
        <v>7939.9428002984323</v>
      </c>
      <c r="J212" s="337">
        <v>7890.4066152698324</v>
      </c>
      <c r="K212" s="337">
        <v>7846.9360855508567</v>
      </c>
      <c r="L212" s="337">
        <v>7805.4874409350887</v>
      </c>
      <c r="M212" s="360">
        <f t="shared" si="31"/>
        <v>7760.1986880088016</v>
      </c>
      <c r="N212" s="360">
        <f t="shared" si="31"/>
        <v>7715.1727080556484</v>
      </c>
      <c r="O212" s="360">
        <f t="shared" si="32"/>
        <v>7670.4079764225771</v>
      </c>
      <c r="Q212" s="266">
        <v>636</v>
      </c>
      <c r="R212" s="266" t="s">
        <v>233</v>
      </c>
      <c r="S212" s="360">
        <f t="shared" si="33"/>
        <v>8130</v>
      </c>
      <c r="T212" s="360">
        <f t="shared" si="34"/>
        <v>8078.4419298681923</v>
      </c>
      <c r="U212" s="360">
        <f t="shared" si="35"/>
        <v>8030.9276299428002</v>
      </c>
      <c r="V212" s="360">
        <f t="shared" si="36"/>
        <v>7984.4242725690119</v>
      </c>
      <c r="W212" s="360">
        <f t="shared" si="37"/>
        <v>7939.9428002984323</v>
      </c>
      <c r="X212" s="360">
        <f t="shared" si="38"/>
        <v>7890.4066152698324</v>
      </c>
      <c r="Y212" s="360">
        <f t="shared" si="39"/>
        <v>7846.9360855508567</v>
      </c>
      <c r="Z212" s="360">
        <f t="shared" si="40"/>
        <v>7805.4874409350887</v>
      </c>
      <c r="AA212" s="443">
        <v>0.99419783155517294</v>
      </c>
    </row>
    <row r="213" spans="1:27" x14ac:dyDescent="0.2">
      <c r="A213" s="154" t="s">
        <v>234</v>
      </c>
      <c r="B213" s="354">
        <v>24353</v>
      </c>
      <c r="C213" s="354">
        <v>24288</v>
      </c>
      <c r="D213" s="354">
        <v>24073</v>
      </c>
      <c r="E213" s="354">
        <v>23797</v>
      </c>
      <c r="F213" s="331">
        <v>23615.252035249687</v>
      </c>
      <c r="G213" s="336">
        <v>23429.509609735629</v>
      </c>
      <c r="H213" s="337">
        <v>23239.772723457827</v>
      </c>
      <c r="I213" s="337">
        <v>23048.038606798156</v>
      </c>
      <c r="J213" s="337">
        <v>22852.310029374741</v>
      </c>
      <c r="K213" s="337">
        <v>22656.581451951326</v>
      </c>
      <c r="L213" s="337">
        <v>22459.854259336975</v>
      </c>
      <c r="M213" s="360">
        <f t="shared" si="31"/>
        <v>22275.069366572912</v>
      </c>
      <c r="N213" s="360">
        <f t="shared" si="31"/>
        <v>22091.80476223991</v>
      </c>
      <c r="O213" s="360">
        <f t="shared" si="32"/>
        <v>21910.047938405754</v>
      </c>
      <c r="Q213" s="266">
        <v>678</v>
      </c>
      <c r="R213" s="266" t="s">
        <v>234</v>
      </c>
      <c r="S213" s="360">
        <f t="shared" si="33"/>
        <v>23797</v>
      </c>
      <c r="T213" s="360">
        <f t="shared" si="34"/>
        <v>23615.252035249687</v>
      </c>
      <c r="U213" s="360">
        <f t="shared" si="35"/>
        <v>23429.509609735629</v>
      </c>
      <c r="V213" s="360">
        <f t="shared" si="36"/>
        <v>23239.772723457827</v>
      </c>
      <c r="W213" s="360">
        <f t="shared" si="37"/>
        <v>23048.038606798156</v>
      </c>
      <c r="X213" s="360">
        <f t="shared" si="38"/>
        <v>22852.310029374741</v>
      </c>
      <c r="Y213" s="360">
        <f t="shared" si="39"/>
        <v>22656.581451951326</v>
      </c>
      <c r="Z213" s="360">
        <f t="shared" si="40"/>
        <v>22459.854259336975</v>
      </c>
      <c r="AA213" s="443">
        <v>0.99177265842287265</v>
      </c>
    </row>
    <row r="214" spans="1:27" x14ac:dyDescent="0.2">
      <c r="A214" s="154" t="s">
        <v>351</v>
      </c>
      <c r="B214" s="354">
        <v>27528</v>
      </c>
      <c r="C214" s="354">
        <v>26878</v>
      </c>
      <c r="D214" s="354">
        <v>27306</v>
      </c>
      <c r="E214" s="354">
        <v>27209</v>
      </c>
      <c r="F214" s="331">
        <v>27050.884258059741</v>
      </c>
      <c r="G214" s="336">
        <v>26898.811155938856</v>
      </c>
      <c r="H214" s="337">
        <v>26752.780693637342</v>
      </c>
      <c r="I214" s="337">
        <v>26614.807084428325</v>
      </c>
      <c r="J214" s="337">
        <v>26483.883221675245</v>
      </c>
      <c r="K214" s="337">
        <v>26359.001998741536</v>
      </c>
      <c r="L214" s="337">
        <v>26242.177628900325</v>
      </c>
      <c r="M214" s="360">
        <f t="shared" si="31"/>
        <v>26106.896345617166</v>
      </c>
      <c r="N214" s="360">
        <f t="shared" si="31"/>
        <v>25972.312452080605</v>
      </c>
      <c r="O214" s="360">
        <f t="shared" si="32"/>
        <v>25838.422353170554</v>
      </c>
      <c r="Q214" s="266">
        <v>710</v>
      </c>
      <c r="R214" s="266" t="s">
        <v>351</v>
      </c>
      <c r="S214" s="360">
        <f t="shared" si="33"/>
        <v>27209</v>
      </c>
      <c r="T214" s="360">
        <f t="shared" si="34"/>
        <v>27050.884258059741</v>
      </c>
      <c r="U214" s="360">
        <f t="shared" si="35"/>
        <v>26898.811155938856</v>
      </c>
      <c r="V214" s="360">
        <f t="shared" si="36"/>
        <v>26752.780693637342</v>
      </c>
      <c r="W214" s="360">
        <f t="shared" si="37"/>
        <v>26614.807084428325</v>
      </c>
      <c r="X214" s="360">
        <f t="shared" si="38"/>
        <v>26483.883221675245</v>
      </c>
      <c r="Y214" s="360">
        <f t="shared" si="39"/>
        <v>26359.001998741536</v>
      </c>
      <c r="Z214" s="360">
        <f t="shared" si="40"/>
        <v>26242.177628900325</v>
      </c>
      <c r="AA214" s="443">
        <v>0.99484489110636254</v>
      </c>
    </row>
    <row r="215" spans="1:27" x14ac:dyDescent="0.2">
      <c r="A215" s="154" t="s">
        <v>235</v>
      </c>
      <c r="B215" s="354">
        <v>24407</v>
      </c>
      <c r="C215" s="354">
        <v>23796</v>
      </c>
      <c r="D215" s="354">
        <v>24942</v>
      </c>
      <c r="E215" s="354">
        <v>25331</v>
      </c>
      <c r="F215" s="331">
        <v>25374.415711079375</v>
      </c>
      <c r="G215" s="336">
        <v>25422.999959192006</v>
      </c>
      <c r="H215" s="337">
        <v>25467.449377678029</v>
      </c>
      <c r="I215" s="337">
        <v>25510.8650887574</v>
      </c>
      <c r="J215" s="337">
        <v>25557.381922056724</v>
      </c>
      <c r="K215" s="337">
        <v>25602.865047949395</v>
      </c>
      <c r="L215" s="337">
        <v>25645.247051622118</v>
      </c>
      <c r="M215" s="360">
        <f t="shared" si="31"/>
        <v>25690.456686906309</v>
      </c>
      <c r="N215" s="360">
        <f t="shared" si="31"/>
        <v>25735.746021602965</v>
      </c>
      <c r="O215" s="360">
        <f t="shared" si="32"/>
        <v>25781.115196213028</v>
      </c>
      <c r="Q215" s="266">
        <v>680</v>
      </c>
      <c r="R215" s="266" t="s">
        <v>235</v>
      </c>
      <c r="S215" s="360">
        <f t="shared" si="33"/>
        <v>25331</v>
      </c>
      <c r="T215" s="360">
        <f t="shared" si="34"/>
        <v>25374.415711079375</v>
      </c>
      <c r="U215" s="360">
        <f t="shared" si="35"/>
        <v>25422.999959192006</v>
      </c>
      <c r="V215" s="360">
        <f t="shared" si="36"/>
        <v>25467.449377678029</v>
      </c>
      <c r="W215" s="360">
        <f t="shared" si="37"/>
        <v>25510.8650887574</v>
      </c>
      <c r="X215" s="360">
        <f t="shared" si="38"/>
        <v>25557.381922056724</v>
      </c>
      <c r="Y215" s="360">
        <f t="shared" si="39"/>
        <v>25602.865047949395</v>
      </c>
      <c r="Z215" s="360">
        <f t="shared" si="40"/>
        <v>25645.247051622118</v>
      </c>
      <c r="AA215" s="443">
        <v>1.0017628855433987</v>
      </c>
    </row>
    <row r="216" spans="1:27" x14ac:dyDescent="0.2">
      <c r="A216" s="154" t="s">
        <v>236</v>
      </c>
      <c r="B216" s="354">
        <v>3364</v>
      </c>
      <c r="C216" s="354">
        <v>3324</v>
      </c>
      <c r="D216" s="354">
        <v>3308</v>
      </c>
      <c r="E216" s="354">
        <v>3297</v>
      </c>
      <c r="F216" s="331">
        <v>3239.633660234103</v>
      </c>
      <c r="G216" s="336">
        <v>3183.3103448275861</v>
      </c>
      <c r="H216" s="337">
        <v>3134.2881999367287</v>
      </c>
      <c r="I216" s="337">
        <v>3086.3090794052514</v>
      </c>
      <c r="J216" s="337">
        <v>3039.3729832331537</v>
      </c>
      <c r="K216" s="337">
        <v>2994.5229357798162</v>
      </c>
      <c r="L216" s="337">
        <v>2950.7159126858587</v>
      </c>
      <c r="M216" s="360">
        <f t="shared" si="31"/>
        <v>2904.3112434071236</v>
      </c>
      <c r="N216" s="360">
        <f t="shared" si="31"/>
        <v>2858.6363608630622</v>
      </c>
      <c r="O216" s="360">
        <f t="shared" si="32"/>
        <v>2813.6797880043523</v>
      </c>
      <c r="Q216" s="266">
        <v>681</v>
      </c>
      <c r="R216" s="266" t="s">
        <v>236</v>
      </c>
      <c r="S216" s="360">
        <f t="shared" si="33"/>
        <v>3297</v>
      </c>
      <c r="T216" s="360">
        <f t="shared" si="34"/>
        <v>3239.633660234103</v>
      </c>
      <c r="U216" s="360">
        <f t="shared" si="35"/>
        <v>3183.3103448275861</v>
      </c>
      <c r="V216" s="360">
        <f t="shared" si="36"/>
        <v>3134.2881999367287</v>
      </c>
      <c r="W216" s="360">
        <f t="shared" si="37"/>
        <v>3086.3090794052514</v>
      </c>
      <c r="X216" s="360">
        <f t="shared" si="38"/>
        <v>3039.3729832331537</v>
      </c>
      <c r="Y216" s="360">
        <f t="shared" si="39"/>
        <v>2994.5229357798162</v>
      </c>
      <c r="Z216" s="360">
        <f t="shared" si="40"/>
        <v>2950.7159126858587</v>
      </c>
      <c r="AA216" s="443">
        <v>0.98427342019635644</v>
      </c>
    </row>
    <row r="217" spans="1:27" x14ac:dyDescent="0.2">
      <c r="A217" s="154" t="s">
        <v>237</v>
      </c>
      <c r="B217" s="354">
        <v>3712</v>
      </c>
      <c r="C217" s="354">
        <v>3724</v>
      </c>
      <c r="D217" s="354">
        <v>3618</v>
      </c>
      <c r="E217" s="354">
        <v>3599</v>
      </c>
      <c r="F217" s="331">
        <v>3536.5244735344336</v>
      </c>
      <c r="G217" s="336">
        <v>3476.0973249857711</v>
      </c>
      <c r="H217" s="337">
        <v>3417.7185543540122</v>
      </c>
      <c r="I217" s="337">
        <v>3363.4365395560612</v>
      </c>
      <c r="J217" s="337">
        <v>3310.1787137165625</v>
      </c>
      <c r="K217" s="337">
        <v>3257.945076835515</v>
      </c>
      <c r="L217" s="337">
        <v>3210.8323847467273</v>
      </c>
      <c r="M217" s="360">
        <f t="shared" si="31"/>
        <v>3158.9097798048083</v>
      </c>
      <c r="N217" s="360">
        <f t="shared" si="31"/>
        <v>3107.8268190986837</v>
      </c>
      <c r="O217" s="360">
        <f t="shared" si="32"/>
        <v>3057.5699246801078</v>
      </c>
      <c r="Q217" s="266">
        <v>683</v>
      </c>
      <c r="R217" s="266" t="s">
        <v>237</v>
      </c>
      <c r="S217" s="360">
        <f t="shared" si="33"/>
        <v>3599</v>
      </c>
      <c r="T217" s="360">
        <f t="shared" si="34"/>
        <v>3536.5244735344336</v>
      </c>
      <c r="U217" s="360">
        <f t="shared" si="35"/>
        <v>3476.0973249857711</v>
      </c>
      <c r="V217" s="360">
        <f t="shared" si="36"/>
        <v>3417.7185543540122</v>
      </c>
      <c r="W217" s="360">
        <f t="shared" si="37"/>
        <v>3363.4365395560612</v>
      </c>
      <c r="X217" s="360">
        <f t="shared" si="38"/>
        <v>3310.1787137165625</v>
      </c>
      <c r="Y217" s="360">
        <f t="shared" si="39"/>
        <v>3257.945076835515</v>
      </c>
      <c r="Z217" s="360">
        <f t="shared" si="40"/>
        <v>3210.8323847467273</v>
      </c>
      <c r="AA217" s="443">
        <v>0.98382892698211821</v>
      </c>
    </row>
    <row r="218" spans="1:27" x14ac:dyDescent="0.2">
      <c r="A218" s="154" t="s">
        <v>238</v>
      </c>
      <c r="B218" s="354">
        <v>39040</v>
      </c>
      <c r="C218" s="354">
        <v>38953</v>
      </c>
      <c r="D218" s="354">
        <v>38667</v>
      </c>
      <c r="E218" s="354">
        <v>38832</v>
      </c>
      <c r="F218" s="331">
        <v>38670.179060437426</v>
      </c>
      <c r="G218" s="336">
        <v>38506.347922867863</v>
      </c>
      <c r="H218" s="337">
        <v>38341.511686294805</v>
      </c>
      <c r="I218" s="337">
        <v>38174.66525171476</v>
      </c>
      <c r="J218" s="337">
        <v>38010.834114145197</v>
      </c>
      <c r="K218" s="337">
        <v>37842.982580561657</v>
      </c>
      <c r="L218" s="337">
        <v>37669.100452957158</v>
      </c>
      <c r="M218" s="360">
        <f t="shared" si="31"/>
        <v>37505.839811111597</v>
      </c>
      <c r="N218" s="360">
        <f t="shared" si="31"/>
        <v>37343.286752851927</v>
      </c>
      <c r="O218" s="360">
        <f t="shared" si="32"/>
        <v>37181.438211459033</v>
      </c>
      <c r="Q218" s="266">
        <v>684</v>
      </c>
      <c r="R218" s="266" t="s">
        <v>238</v>
      </c>
      <c r="S218" s="360">
        <f t="shared" si="33"/>
        <v>38832</v>
      </c>
      <c r="T218" s="360">
        <f t="shared" si="34"/>
        <v>38670.179060437426</v>
      </c>
      <c r="U218" s="360">
        <f t="shared" si="35"/>
        <v>38506.347922867863</v>
      </c>
      <c r="V218" s="360">
        <f t="shared" si="36"/>
        <v>38341.511686294805</v>
      </c>
      <c r="W218" s="360">
        <f t="shared" si="37"/>
        <v>38174.66525171476</v>
      </c>
      <c r="X218" s="360">
        <f t="shared" si="38"/>
        <v>38010.834114145197</v>
      </c>
      <c r="Y218" s="360">
        <f t="shared" si="39"/>
        <v>37842.982580561657</v>
      </c>
      <c r="Z218" s="360">
        <f t="shared" si="40"/>
        <v>37669.100452957158</v>
      </c>
      <c r="AA218" s="443">
        <v>0.99566592671759047</v>
      </c>
    </row>
    <row r="219" spans="1:27" x14ac:dyDescent="0.2">
      <c r="A219" s="154" t="s">
        <v>239</v>
      </c>
      <c r="B219" s="354">
        <v>3053</v>
      </c>
      <c r="C219" s="354">
        <v>3074</v>
      </c>
      <c r="D219" s="354">
        <v>2964</v>
      </c>
      <c r="E219" s="354">
        <v>2933</v>
      </c>
      <c r="F219" s="331">
        <v>2886.6841743906625</v>
      </c>
      <c r="G219" s="336">
        <v>2839.3614830072088</v>
      </c>
      <c r="H219" s="337">
        <v>2799.0868520425674</v>
      </c>
      <c r="I219" s="337">
        <v>2760.8259526261581</v>
      </c>
      <c r="J219" s="337">
        <v>2722.5650532097488</v>
      </c>
      <c r="K219" s="337">
        <v>2689.3384826639199</v>
      </c>
      <c r="L219" s="337">
        <v>2657.1187778922067</v>
      </c>
      <c r="M219" s="360">
        <f t="shared" si="31"/>
        <v>2619.8882331715899</v>
      </c>
      <c r="N219" s="360">
        <f t="shared" si="31"/>
        <v>2583.1793487816017</v>
      </c>
      <c r="O219" s="360">
        <f t="shared" si="32"/>
        <v>2546.9848154147203</v>
      </c>
      <c r="Q219" s="266">
        <v>686</v>
      </c>
      <c r="R219" s="266" t="s">
        <v>239</v>
      </c>
      <c r="S219" s="360">
        <f t="shared" si="33"/>
        <v>2933</v>
      </c>
      <c r="T219" s="360">
        <f t="shared" si="34"/>
        <v>2886.6841743906625</v>
      </c>
      <c r="U219" s="360">
        <f t="shared" si="35"/>
        <v>2839.3614830072088</v>
      </c>
      <c r="V219" s="360">
        <f t="shared" si="36"/>
        <v>2799.0868520425674</v>
      </c>
      <c r="W219" s="360">
        <f t="shared" si="37"/>
        <v>2760.8259526261581</v>
      </c>
      <c r="X219" s="360">
        <f t="shared" si="38"/>
        <v>2722.5650532097488</v>
      </c>
      <c r="Y219" s="360">
        <f t="shared" si="39"/>
        <v>2689.3384826639199</v>
      </c>
      <c r="Z219" s="360">
        <f t="shared" si="40"/>
        <v>2657.1187778922067</v>
      </c>
      <c r="AA219" s="443">
        <v>0.98598837770054437</v>
      </c>
    </row>
    <row r="220" spans="1:27" x14ac:dyDescent="0.2">
      <c r="A220" s="154" t="s">
        <v>240</v>
      </c>
      <c r="B220" s="354">
        <v>1561</v>
      </c>
      <c r="C220" s="354">
        <v>1577</v>
      </c>
      <c r="D220" s="354">
        <v>1477</v>
      </c>
      <c r="E220" s="354">
        <v>1424</v>
      </c>
      <c r="F220" s="331">
        <v>1394.8395904436861</v>
      </c>
      <c r="G220" s="336">
        <v>1368.5952218430036</v>
      </c>
      <c r="H220" s="337">
        <v>1342.3508532423211</v>
      </c>
      <c r="I220" s="337">
        <v>1317.0784982935156</v>
      </c>
      <c r="J220" s="337">
        <v>1293.7501706484645</v>
      </c>
      <c r="K220" s="337">
        <v>1272.3658703071676</v>
      </c>
      <c r="L220" s="337">
        <v>1250.9815699658707</v>
      </c>
      <c r="M220" s="360">
        <f t="shared" si="31"/>
        <v>1228.0449934596393</v>
      </c>
      <c r="N220" s="360">
        <f t="shared" si="31"/>
        <v>1205.5289559561052</v>
      </c>
      <c r="O220" s="360">
        <f t="shared" si="32"/>
        <v>1183.4257469299971</v>
      </c>
      <c r="Q220" s="266">
        <v>687</v>
      </c>
      <c r="R220" s="266" t="s">
        <v>240</v>
      </c>
      <c r="S220" s="360">
        <f t="shared" si="33"/>
        <v>1424</v>
      </c>
      <c r="T220" s="360">
        <f t="shared" si="34"/>
        <v>1394.8395904436861</v>
      </c>
      <c r="U220" s="360">
        <f t="shared" si="35"/>
        <v>1368.5952218430036</v>
      </c>
      <c r="V220" s="360">
        <f t="shared" si="36"/>
        <v>1342.3508532423211</v>
      </c>
      <c r="W220" s="360">
        <f t="shared" si="37"/>
        <v>1317.0784982935156</v>
      </c>
      <c r="X220" s="360">
        <f t="shared" si="38"/>
        <v>1293.7501706484645</v>
      </c>
      <c r="Y220" s="360">
        <f t="shared" si="39"/>
        <v>1272.3658703071676</v>
      </c>
      <c r="Z220" s="360">
        <f t="shared" si="40"/>
        <v>1250.9815699658707</v>
      </c>
      <c r="AA220" s="443">
        <v>0.98166513635619979</v>
      </c>
    </row>
    <row r="221" spans="1:27" x14ac:dyDescent="0.2">
      <c r="A221" s="154" t="s">
        <v>241</v>
      </c>
      <c r="B221" s="354">
        <v>3146</v>
      </c>
      <c r="C221" s="354">
        <v>3134</v>
      </c>
      <c r="D221" s="354">
        <v>3093</v>
      </c>
      <c r="E221" s="354">
        <v>3032</v>
      </c>
      <c r="F221" s="331">
        <v>2964.5991792065665</v>
      </c>
      <c r="G221" s="336">
        <v>2902.3830369357047</v>
      </c>
      <c r="H221" s="337">
        <v>2843.277701778386</v>
      </c>
      <c r="I221" s="337">
        <v>2788.3201094391247</v>
      </c>
      <c r="J221" s="337">
        <v>2736.4733242134066</v>
      </c>
      <c r="K221" s="337">
        <v>2688.7742818057459</v>
      </c>
      <c r="L221" s="337">
        <v>2642.1121751025994</v>
      </c>
      <c r="M221" s="360">
        <f t="shared" si="31"/>
        <v>2590.6705954442436</v>
      </c>
      <c r="N221" s="360">
        <f t="shared" si="31"/>
        <v>2540.2305766365903</v>
      </c>
      <c r="O221" s="360">
        <f t="shared" si="32"/>
        <v>2490.7726184204266</v>
      </c>
      <c r="Q221" s="266">
        <v>689</v>
      </c>
      <c r="R221" s="266" t="s">
        <v>241</v>
      </c>
      <c r="S221" s="360">
        <f t="shared" si="33"/>
        <v>3032</v>
      </c>
      <c r="T221" s="360">
        <f t="shared" si="34"/>
        <v>2964.5991792065665</v>
      </c>
      <c r="U221" s="360">
        <f t="shared" si="35"/>
        <v>2902.3830369357047</v>
      </c>
      <c r="V221" s="360">
        <f t="shared" si="36"/>
        <v>2843.277701778386</v>
      </c>
      <c r="W221" s="360">
        <f t="shared" si="37"/>
        <v>2788.3201094391247</v>
      </c>
      <c r="X221" s="360">
        <f t="shared" si="38"/>
        <v>2736.4733242134066</v>
      </c>
      <c r="Y221" s="360">
        <f t="shared" si="39"/>
        <v>2688.7742818057459</v>
      </c>
      <c r="Z221" s="360">
        <f t="shared" si="40"/>
        <v>2642.1121751025994</v>
      </c>
      <c r="AA221" s="443">
        <v>0.98053013034680936</v>
      </c>
    </row>
    <row r="222" spans="1:27" x14ac:dyDescent="0.2">
      <c r="A222" s="154" t="s">
        <v>242</v>
      </c>
      <c r="B222" s="354">
        <v>2710</v>
      </c>
      <c r="C222" s="354">
        <v>2620</v>
      </c>
      <c r="D222" s="354">
        <v>2636</v>
      </c>
      <c r="E222" s="354">
        <v>2598</v>
      </c>
      <c r="F222" s="331">
        <v>2567.130701418168</v>
      </c>
      <c r="G222" s="336">
        <v>2535.2656190111152</v>
      </c>
      <c r="H222" s="337">
        <v>2504.3963204292832</v>
      </c>
      <c r="I222" s="337">
        <v>2475.5185894978918</v>
      </c>
      <c r="J222" s="337">
        <v>2444.6492909160597</v>
      </c>
      <c r="K222" s="337">
        <v>2418.7589114603297</v>
      </c>
      <c r="L222" s="337">
        <v>2390.8769643541586</v>
      </c>
      <c r="M222" s="360">
        <f t="shared" si="31"/>
        <v>2362.6682750736632</v>
      </c>
      <c r="N222" s="360">
        <f t="shared" si="31"/>
        <v>2334.79240515727</v>
      </c>
      <c r="O222" s="360">
        <f t="shared" si="32"/>
        <v>2307.2454278458158</v>
      </c>
      <c r="Q222" s="266">
        <v>691</v>
      </c>
      <c r="R222" s="266" t="s">
        <v>242</v>
      </c>
      <c r="S222" s="360">
        <f t="shared" si="33"/>
        <v>2598</v>
      </c>
      <c r="T222" s="360">
        <f t="shared" si="34"/>
        <v>2567.130701418168</v>
      </c>
      <c r="U222" s="360">
        <f t="shared" si="35"/>
        <v>2535.2656190111152</v>
      </c>
      <c r="V222" s="360">
        <f t="shared" si="36"/>
        <v>2504.3963204292832</v>
      </c>
      <c r="W222" s="360">
        <f t="shared" si="37"/>
        <v>2475.5185894978918</v>
      </c>
      <c r="X222" s="360">
        <f t="shared" si="38"/>
        <v>2444.6492909160597</v>
      </c>
      <c r="Y222" s="360">
        <f t="shared" si="39"/>
        <v>2418.7589114603297</v>
      </c>
      <c r="Z222" s="360">
        <f t="shared" si="40"/>
        <v>2390.8769643541586</v>
      </c>
      <c r="AA222" s="443">
        <v>0.98820153035849945</v>
      </c>
    </row>
    <row r="223" spans="1:27" x14ac:dyDescent="0.2">
      <c r="A223" s="154" t="s">
        <v>243</v>
      </c>
      <c r="B223" s="354">
        <v>28710</v>
      </c>
      <c r="C223" s="354">
        <v>28246</v>
      </c>
      <c r="D223" s="354">
        <v>28349</v>
      </c>
      <c r="E223" s="354">
        <v>28483</v>
      </c>
      <c r="F223" s="331">
        <v>28388.688752685899</v>
      </c>
      <c r="G223" s="336">
        <v>28296.384127655077</v>
      </c>
      <c r="H223" s="337">
        <v>28203.076191482618</v>
      </c>
      <c r="I223" s="337">
        <v>28109.768255310159</v>
      </c>
      <c r="J223" s="337">
        <v>28018.466941420978</v>
      </c>
      <c r="K223" s="337">
        <v>27924.155694106877</v>
      </c>
      <c r="L223" s="337">
        <v>27833.857691359335</v>
      </c>
      <c r="M223" s="360">
        <f t="shared" si="31"/>
        <v>27742.338747197336</v>
      </c>
      <c r="N223" s="360">
        <f t="shared" si="31"/>
        <v>27651.120721335396</v>
      </c>
      <c r="O223" s="360">
        <f t="shared" si="32"/>
        <v>27560.202624340953</v>
      </c>
      <c r="Q223" s="266">
        <v>694</v>
      </c>
      <c r="R223" s="266" t="s">
        <v>243</v>
      </c>
      <c r="S223" s="360">
        <f t="shared" si="33"/>
        <v>28483</v>
      </c>
      <c r="T223" s="360">
        <f t="shared" si="34"/>
        <v>28388.688752685899</v>
      </c>
      <c r="U223" s="360">
        <f t="shared" si="35"/>
        <v>28296.384127655077</v>
      </c>
      <c r="V223" s="360">
        <f t="shared" si="36"/>
        <v>28203.076191482618</v>
      </c>
      <c r="W223" s="360">
        <f t="shared" si="37"/>
        <v>28109.768255310159</v>
      </c>
      <c r="X223" s="360">
        <f t="shared" si="38"/>
        <v>28018.466941420978</v>
      </c>
      <c r="Y223" s="360">
        <f t="shared" si="39"/>
        <v>27924.155694106877</v>
      </c>
      <c r="Z223" s="360">
        <f t="shared" si="40"/>
        <v>27833.857691359335</v>
      </c>
      <c r="AA223" s="443">
        <v>0.9967119561658746</v>
      </c>
    </row>
    <row r="224" spans="1:27" x14ac:dyDescent="0.2">
      <c r="A224" s="154" t="s">
        <v>244</v>
      </c>
      <c r="B224" s="354">
        <v>1235</v>
      </c>
      <c r="C224" s="354">
        <v>1214</v>
      </c>
      <c r="D224" s="354">
        <v>1174</v>
      </c>
      <c r="E224" s="354">
        <v>1164</v>
      </c>
      <c r="F224" s="331">
        <v>1150.2828282828282</v>
      </c>
      <c r="G224" s="336">
        <v>1142.4444444444443</v>
      </c>
      <c r="H224" s="337">
        <v>1132.6464646464644</v>
      </c>
      <c r="I224" s="337">
        <v>1121.8686868686866</v>
      </c>
      <c r="J224" s="337">
        <v>1114.0303030303028</v>
      </c>
      <c r="K224" s="337">
        <v>1105.212121212121</v>
      </c>
      <c r="L224" s="337">
        <v>1096.3939393939393</v>
      </c>
      <c r="M224" s="360">
        <f t="shared" si="31"/>
        <v>1087.0633274425759</v>
      </c>
      <c r="N224" s="360">
        <f t="shared" si="31"/>
        <v>1077.8121215479764</v>
      </c>
      <c r="O224" s="360">
        <f t="shared" si="32"/>
        <v>1068.6396459429043</v>
      </c>
      <c r="Q224" s="266">
        <v>697</v>
      </c>
      <c r="R224" s="266" t="s">
        <v>244</v>
      </c>
      <c r="S224" s="360">
        <f t="shared" si="33"/>
        <v>1164</v>
      </c>
      <c r="T224" s="360">
        <f t="shared" si="34"/>
        <v>1150.2828282828282</v>
      </c>
      <c r="U224" s="360">
        <f t="shared" si="35"/>
        <v>1142.4444444444443</v>
      </c>
      <c r="V224" s="360">
        <f t="shared" si="36"/>
        <v>1132.6464646464644</v>
      </c>
      <c r="W224" s="360">
        <f t="shared" si="37"/>
        <v>1121.8686868686866</v>
      </c>
      <c r="X224" s="360">
        <f t="shared" si="38"/>
        <v>1114.0303030303028</v>
      </c>
      <c r="Y224" s="360">
        <f t="shared" si="39"/>
        <v>1105.212121212121</v>
      </c>
      <c r="Z224" s="360">
        <f t="shared" si="40"/>
        <v>1096.3939393939393</v>
      </c>
      <c r="AA224" s="443">
        <v>0.99148972680702607</v>
      </c>
    </row>
    <row r="225" spans="1:27" x14ac:dyDescent="0.2">
      <c r="A225" s="154" t="s">
        <v>245</v>
      </c>
      <c r="B225" s="354">
        <v>63528</v>
      </c>
      <c r="C225" s="354">
        <v>63685</v>
      </c>
      <c r="D225" s="354">
        <v>64535</v>
      </c>
      <c r="E225" s="354">
        <v>65286</v>
      </c>
      <c r="F225" s="331">
        <v>65605.172857651196</v>
      </c>
      <c r="G225" s="336">
        <v>65908.185064282065</v>
      </c>
      <c r="H225" s="337">
        <v>66196.0466605814</v>
      </c>
      <c r="I225" s="337">
        <v>66462.697402416568</v>
      </c>
      <c r="J225" s="337">
        <v>66707.127249098819</v>
      </c>
      <c r="K225" s="337">
        <v>66929.336200628124</v>
      </c>
      <c r="L225" s="337">
        <v>67134.374460448351</v>
      </c>
      <c r="M225" s="360">
        <f t="shared" si="31"/>
        <v>67402.678845184855</v>
      </c>
      <c r="N225" s="360">
        <f t="shared" si="31"/>
        <v>67672.055515817323</v>
      </c>
      <c r="O225" s="360">
        <f t="shared" si="32"/>
        <v>67942.508757766016</v>
      </c>
      <c r="Q225" s="266">
        <v>698</v>
      </c>
      <c r="R225" s="266" t="s">
        <v>245</v>
      </c>
      <c r="S225" s="360">
        <f t="shared" si="33"/>
        <v>65286</v>
      </c>
      <c r="T225" s="360">
        <f t="shared" si="34"/>
        <v>65605.172857651196</v>
      </c>
      <c r="U225" s="360">
        <f t="shared" si="35"/>
        <v>65908.185064282065</v>
      </c>
      <c r="V225" s="360">
        <f t="shared" si="36"/>
        <v>66196.0466605814</v>
      </c>
      <c r="W225" s="360">
        <f t="shared" si="37"/>
        <v>66462.697402416568</v>
      </c>
      <c r="X225" s="360">
        <f t="shared" si="38"/>
        <v>66707.127249098819</v>
      </c>
      <c r="Y225" s="360">
        <f t="shared" si="39"/>
        <v>66929.336200628124</v>
      </c>
      <c r="Z225" s="360">
        <f t="shared" si="40"/>
        <v>67134.374460448351</v>
      </c>
      <c r="AA225" s="443">
        <v>1.0039965276639997</v>
      </c>
    </row>
    <row r="226" spans="1:27" x14ac:dyDescent="0.2">
      <c r="A226" s="154" t="s">
        <v>246</v>
      </c>
      <c r="B226" s="354">
        <v>4922</v>
      </c>
      <c r="C226" s="354">
        <v>4897</v>
      </c>
      <c r="D226" s="354">
        <v>4842</v>
      </c>
      <c r="E226" s="354">
        <v>4758</v>
      </c>
      <c r="F226" s="331">
        <v>4690.24527098831</v>
      </c>
      <c r="G226" s="336">
        <v>4625.5243358129646</v>
      </c>
      <c r="H226" s="337">
        <v>4562.8259298618486</v>
      </c>
      <c r="I226" s="337">
        <v>4501.1387885228478</v>
      </c>
      <c r="J226" s="337">
        <v>4438.4403825717318</v>
      </c>
      <c r="K226" s="337">
        <v>4381.8095642933049</v>
      </c>
      <c r="L226" s="337">
        <v>4325.178746014878</v>
      </c>
      <c r="M226" s="360">
        <f t="shared" si="31"/>
        <v>4266.6490085235519</v>
      </c>
      <c r="N226" s="360">
        <f t="shared" si="31"/>
        <v>4208.9113146382751</v>
      </c>
      <c r="O226" s="360">
        <f t="shared" si="32"/>
        <v>4151.9549461651732</v>
      </c>
      <c r="Q226" s="266">
        <v>700</v>
      </c>
      <c r="R226" s="266" t="s">
        <v>246</v>
      </c>
      <c r="S226" s="360">
        <f t="shared" si="33"/>
        <v>4758</v>
      </c>
      <c r="T226" s="360">
        <f t="shared" si="34"/>
        <v>4690.24527098831</v>
      </c>
      <c r="U226" s="360">
        <f t="shared" si="35"/>
        <v>4625.5243358129646</v>
      </c>
      <c r="V226" s="360">
        <f t="shared" si="36"/>
        <v>4562.8259298618486</v>
      </c>
      <c r="W226" s="360">
        <f t="shared" si="37"/>
        <v>4501.1387885228478</v>
      </c>
      <c r="X226" s="360">
        <f t="shared" si="38"/>
        <v>4438.4403825717318</v>
      </c>
      <c r="Y226" s="360">
        <f t="shared" si="39"/>
        <v>4381.8095642933049</v>
      </c>
      <c r="Z226" s="360">
        <f t="shared" si="40"/>
        <v>4325.178746014878</v>
      </c>
      <c r="AA226" s="443">
        <v>0.98646767199037633</v>
      </c>
    </row>
    <row r="227" spans="1:27" x14ac:dyDescent="0.2">
      <c r="A227" s="154" t="s">
        <v>247</v>
      </c>
      <c r="B227" s="354">
        <v>4215</v>
      </c>
      <c r="C227" s="354">
        <v>4165</v>
      </c>
      <c r="D227" s="354">
        <v>4114</v>
      </c>
      <c r="E227" s="354">
        <v>4124</v>
      </c>
      <c r="F227" s="331">
        <v>4055.4225245653815</v>
      </c>
      <c r="G227" s="336">
        <v>3992.0403124212644</v>
      </c>
      <c r="H227" s="337">
        <v>3935.9314688838494</v>
      </c>
      <c r="I227" s="337">
        <v>3883.9788359788354</v>
      </c>
      <c r="J227" s="337">
        <v>3836.1824137062226</v>
      </c>
      <c r="K227" s="337">
        <v>3789.4250440917099</v>
      </c>
      <c r="L227" s="337">
        <v>3746.8238851095985</v>
      </c>
      <c r="M227" s="360">
        <f t="shared" si="31"/>
        <v>3695.840685053</v>
      </c>
      <c r="N227" s="360">
        <f t="shared" si="31"/>
        <v>3645.5512156780974</v>
      </c>
      <c r="O227" s="360">
        <f t="shared" si="32"/>
        <v>3595.9460373605007</v>
      </c>
      <c r="Q227" s="266">
        <v>702</v>
      </c>
      <c r="R227" s="266" t="s">
        <v>247</v>
      </c>
      <c r="S227" s="360">
        <f t="shared" si="33"/>
        <v>4124</v>
      </c>
      <c r="T227" s="360">
        <f t="shared" si="34"/>
        <v>4055.4225245653815</v>
      </c>
      <c r="U227" s="360">
        <f t="shared" si="35"/>
        <v>3992.0403124212644</v>
      </c>
      <c r="V227" s="360">
        <f t="shared" si="36"/>
        <v>3935.9314688838494</v>
      </c>
      <c r="W227" s="360">
        <f t="shared" si="37"/>
        <v>3883.9788359788354</v>
      </c>
      <c r="X227" s="360">
        <f t="shared" si="38"/>
        <v>3836.1824137062226</v>
      </c>
      <c r="Y227" s="360">
        <f t="shared" si="39"/>
        <v>3789.4250440917099</v>
      </c>
      <c r="Z227" s="360">
        <f t="shared" si="40"/>
        <v>3746.8238851095985</v>
      </c>
      <c r="AA227" s="443">
        <v>0.98639295530830451</v>
      </c>
    </row>
    <row r="228" spans="1:27" x14ac:dyDescent="0.2">
      <c r="A228" s="154" t="s">
        <v>248</v>
      </c>
      <c r="B228" s="354">
        <v>6354</v>
      </c>
      <c r="C228" s="354">
        <v>6367</v>
      </c>
      <c r="D228" s="354">
        <v>6428</v>
      </c>
      <c r="E228" s="354">
        <v>6436</v>
      </c>
      <c r="F228" s="331">
        <v>6492.2829088677508</v>
      </c>
      <c r="G228" s="336">
        <v>6551.5280760969617</v>
      </c>
      <c r="H228" s="337">
        <v>6606.823565510892</v>
      </c>
      <c r="I228" s="337">
        <v>6662.1190549248222</v>
      </c>
      <c r="J228" s="337">
        <v>6711.4900276158314</v>
      </c>
      <c r="K228" s="337">
        <v>6758.8861613992003</v>
      </c>
      <c r="L228" s="337">
        <v>6798.3829395520079</v>
      </c>
      <c r="M228" s="360">
        <f t="shared" si="31"/>
        <v>6851.7952632442293</v>
      </c>
      <c r="N228" s="360">
        <f t="shared" si="31"/>
        <v>6905.6272273638242</v>
      </c>
      <c r="O228" s="360">
        <f t="shared" si="32"/>
        <v>6959.8821288669278</v>
      </c>
      <c r="Q228" s="266">
        <v>704</v>
      </c>
      <c r="R228" s="266" t="s">
        <v>248</v>
      </c>
      <c r="S228" s="360">
        <f t="shared" si="33"/>
        <v>6436</v>
      </c>
      <c r="T228" s="360">
        <f t="shared" si="34"/>
        <v>6492.2829088677508</v>
      </c>
      <c r="U228" s="360">
        <f t="shared" si="35"/>
        <v>6551.5280760969617</v>
      </c>
      <c r="V228" s="360">
        <f t="shared" si="36"/>
        <v>6606.823565510892</v>
      </c>
      <c r="W228" s="360">
        <f t="shared" si="37"/>
        <v>6662.1190549248222</v>
      </c>
      <c r="X228" s="360">
        <f t="shared" si="38"/>
        <v>6711.4900276158314</v>
      </c>
      <c r="Y228" s="360">
        <f t="shared" si="39"/>
        <v>6758.8861613992003</v>
      </c>
      <c r="Z228" s="360">
        <f t="shared" si="40"/>
        <v>6798.3829395520079</v>
      </c>
      <c r="AA228" s="443">
        <v>1.0078566218124425</v>
      </c>
    </row>
    <row r="229" spans="1:27" x14ac:dyDescent="0.2">
      <c r="A229" s="154" t="s">
        <v>249</v>
      </c>
      <c r="B229" s="354">
        <v>2066</v>
      </c>
      <c r="C229" s="354">
        <v>2039</v>
      </c>
      <c r="D229" s="354">
        <v>1960</v>
      </c>
      <c r="E229" s="354">
        <v>1902</v>
      </c>
      <c r="F229" s="331">
        <v>1866.7415036045313</v>
      </c>
      <c r="G229" s="336">
        <v>1837.3594232749742</v>
      </c>
      <c r="H229" s="337">
        <v>1808.9567456230691</v>
      </c>
      <c r="I229" s="337">
        <v>1781.5334706488156</v>
      </c>
      <c r="J229" s="337">
        <v>1756.0690010298661</v>
      </c>
      <c r="K229" s="337">
        <v>1730.6045314109165</v>
      </c>
      <c r="L229" s="337">
        <v>1707.0988671472708</v>
      </c>
      <c r="M229" s="360">
        <f t="shared" si="31"/>
        <v>1680.9382483039242</v>
      </c>
      <c r="N229" s="360">
        <f t="shared" si="31"/>
        <v>1655.1785306570096</v>
      </c>
      <c r="O229" s="360">
        <f t="shared" si="32"/>
        <v>1629.8135705533409</v>
      </c>
      <c r="Q229" s="266">
        <v>707</v>
      </c>
      <c r="R229" s="266" t="s">
        <v>249</v>
      </c>
      <c r="S229" s="360">
        <f t="shared" si="33"/>
        <v>1902</v>
      </c>
      <c r="T229" s="360">
        <f t="shared" si="34"/>
        <v>1866.7415036045313</v>
      </c>
      <c r="U229" s="360">
        <f t="shared" si="35"/>
        <v>1837.3594232749742</v>
      </c>
      <c r="V229" s="360">
        <f t="shared" si="36"/>
        <v>1808.9567456230691</v>
      </c>
      <c r="W229" s="360">
        <f t="shared" si="37"/>
        <v>1781.5334706488156</v>
      </c>
      <c r="X229" s="360">
        <f t="shared" si="38"/>
        <v>1756.0690010298661</v>
      </c>
      <c r="Y229" s="360">
        <f t="shared" si="39"/>
        <v>1730.6045314109165</v>
      </c>
      <c r="Z229" s="360">
        <f t="shared" si="40"/>
        <v>1707.0988671472708</v>
      </c>
      <c r="AA229" s="443">
        <v>0.98467539323773112</v>
      </c>
    </row>
    <row r="230" spans="1:27" x14ac:dyDescent="0.2">
      <c r="A230" s="154" t="s">
        <v>250</v>
      </c>
      <c r="B230" s="354">
        <v>9208</v>
      </c>
      <c r="C230" s="354">
        <v>8952</v>
      </c>
      <c r="D230" s="354">
        <v>8975</v>
      </c>
      <c r="E230" s="354">
        <v>8847</v>
      </c>
      <c r="F230" s="331">
        <v>8729.8145590399636</v>
      </c>
      <c r="G230" s="336">
        <v>8615.6338729763374</v>
      </c>
      <c r="H230" s="337">
        <v>8502.4547718781832</v>
      </c>
      <c r="I230" s="337">
        <v>8395.2851805728515</v>
      </c>
      <c r="J230" s="337">
        <v>8291.12034416393</v>
      </c>
      <c r="K230" s="337">
        <v>8191.9634325823608</v>
      </c>
      <c r="L230" s="337">
        <v>8096.8128608626739</v>
      </c>
      <c r="M230" s="360">
        <f t="shared" si="31"/>
        <v>7994.9685272391607</v>
      </c>
      <c r="N230" s="360">
        <f t="shared" si="31"/>
        <v>7894.4052246175306</v>
      </c>
      <c r="O230" s="360">
        <f t="shared" si="32"/>
        <v>7795.1068397750905</v>
      </c>
      <c r="Q230" s="266">
        <v>729</v>
      </c>
      <c r="R230" s="266" t="s">
        <v>250</v>
      </c>
      <c r="S230" s="360">
        <f t="shared" si="33"/>
        <v>8847</v>
      </c>
      <c r="T230" s="360">
        <f t="shared" si="34"/>
        <v>8729.8145590399636</v>
      </c>
      <c r="U230" s="360">
        <f t="shared" si="35"/>
        <v>8615.6338729763374</v>
      </c>
      <c r="V230" s="360">
        <f t="shared" si="36"/>
        <v>8502.4547718781832</v>
      </c>
      <c r="W230" s="360">
        <f t="shared" si="37"/>
        <v>8395.2851805728515</v>
      </c>
      <c r="X230" s="360">
        <f t="shared" si="38"/>
        <v>8291.12034416393</v>
      </c>
      <c r="Y230" s="360">
        <f t="shared" si="39"/>
        <v>8191.9634325823608</v>
      </c>
      <c r="Z230" s="360">
        <f t="shared" si="40"/>
        <v>8096.8128608626739</v>
      </c>
      <c r="AA230" s="443">
        <v>0.9874216762356216</v>
      </c>
    </row>
    <row r="231" spans="1:27" x14ac:dyDescent="0.2">
      <c r="A231" s="154" t="s">
        <v>251</v>
      </c>
      <c r="B231" s="354">
        <v>3407</v>
      </c>
      <c r="C231" s="354">
        <v>3260</v>
      </c>
      <c r="D231" s="354">
        <v>3336</v>
      </c>
      <c r="E231" s="354">
        <v>3344</v>
      </c>
      <c r="F231" s="331">
        <v>3288.0594795539032</v>
      </c>
      <c r="G231" s="336">
        <v>3239.3705080545228</v>
      </c>
      <c r="H231" s="337">
        <v>3191.717472118959</v>
      </c>
      <c r="I231" s="337">
        <v>3147.1722428748449</v>
      </c>
      <c r="J231" s="337">
        <v>3104.6988847583639</v>
      </c>
      <c r="K231" s="337">
        <v>3065.3333333333326</v>
      </c>
      <c r="L231" s="337">
        <v>3030.111524163568</v>
      </c>
      <c r="M231" s="360">
        <f t="shared" si="31"/>
        <v>2987.7466838629216</v>
      </c>
      <c r="N231" s="360">
        <f t="shared" si="31"/>
        <v>2945.9741582937258</v>
      </c>
      <c r="O231" s="360">
        <f t="shared" si="32"/>
        <v>2904.7856661373535</v>
      </c>
      <c r="Q231" s="266">
        <v>732</v>
      </c>
      <c r="R231" s="266" t="s">
        <v>251</v>
      </c>
      <c r="S231" s="360">
        <f t="shared" si="33"/>
        <v>3344</v>
      </c>
      <c r="T231" s="360">
        <f t="shared" si="34"/>
        <v>3288.0594795539032</v>
      </c>
      <c r="U231" s="360">
        <f t="shared" si="35"/>
        <v>3239.3705080545228</v>
      </c>
      <c r="V231" s="360">
        <f t="shared" si="36"/>
        <v>3191.717472118959</v>
      </c>
      <c r="W231" s="360">
        <f t="shared" si="37"/>
        <v>3147.1722428748449</v>
      </c>
      <c r="X231" s="360">
        <f t="shared" si="38"/>
        <v>3104.6988847583639</v>
      </c>
      <c r="Y231" s="360">
        <f t="shared" si="39"/>
        <v>3065.3333333333326</v>
      </c>
      <c r="Z231" s="360">
        <f t="shared" si="40"/>
        <v>3030.111524163568</v>
      </c>
      <c r="AA231" s="443">
        <v>0.9860187191254155</v>
      </c>
    </row>
    <row r="232" spans="1:27" x14ac:dyDescent="0.2">
      <c r="A232" s="154" t="s">
        <v>252</v>
      </c>
      <c r="B232" s="354">
        <v>51562</v>
      </c>
      <c r="C232" s="354">
        <v>50816</v>
      </c>
      <c r="D232" s="354">
        <v>50933</v>
      </c>
      <c r="E232" s="354">
        <v>51100</v>
      </c>
      <c r="F232" s="331">
        <v>50684.081592039802</v>
      </c>
      <c r="G232" s="336">
        <v>50280.366169154229</v>
      </c>
      <c r="H232" s="337">
        <v>49884.786069651738</v>
      </c>
      <c r="I232" s="337">
        <v>49504.459701492538</v>
      </c>
      <c r="J232" s="337">
        <v>49136.336318407964</v>
      </c>
      <c r="K232" s="337">
        <v>48771.263681592041</v>
      </c>
      <c r="L232" s="337">
        <v>48424.495522388061</v>
      </c>
      <c r="M232" s="360">
        <f t="shared" si="31"/>
        <v>48053.894125065774</v>
      </c>
      <c r="N232" s="360">
        <f t="shared" si="31"/>
        <v>47686.129007073105</v>
      </c>
      <c r="O232" s="360">
        <f t="shared" si="32"/>
        <v>47321.178461852833</v>
      </c>
      <c r="Q232" s="266">
        <v>734</v>
      </c>
      <c r="R232" s="266" t="s">
        <v>252</v>
      </c>
      <c r="S232" s="360">
        <f t="shared" si="33"/>
        <v>51100</v>
      </c>
      <c r="T232" s="360">
        <f t="shared" si="34"/>
        <v>50684.081592039802</v>
      </c>
      <c r="U232" s="360">
        <f t="shared" si="35"/>
        <v>50280.366169154229</v>
      </c>
      <c r="V232" s="360">
        <f t="shared" si="36"/>
        <v>49884.786069651738</v>
      </c>
      <c r="W232" s="360">
        <f t="shared" si="37"/>
        <v>49504.459701492538</v>
      </c>
      <c r="X232" s="360">
        <f t="shared" si="38"/>
        <v>49136.336318407964</v>
      </c>
      <c r="Y232" s="360">
        <f t="shared" si="39"/>
        <v>48771.263681592041</v>
      </c>
      <c r="Z232" s="360">
        <f t="shared" si="40"/>
        <v>48424.495522388061</v>
      </c>
      <c r="AA232" s="443">
        <v>0.99234681965554095</v>
      </c>
    </row>
    <row r="233" spans="1:27" x14ac:dyDescent="0.2">
      <c r="A233" s="154" t="s">
        <v>353</v>
      </c>
      <c r="B233" s="354">
        <v>24052</v>
      </c>
      <c r="C233" s="354">
        <v>23977</v>
      </c>
      <c r="D233" s="354">
        <v>23734</v>
      </c>
      <c r="E233" s="354">
        <v>23515</v>
      </c>
      <c r="F233" s="331">
        <v>23276.166293682218</v>
      </c>
      <c r="G233" s="336">
        <v>23044.416637975555</v>
      </c>
      <c r="H233" s="337">
        <v>22828.859097951452</v>
      </c>
      <c r="I233" s="337">
        <v>22619.373601308311</v>
      </c>
      <c r="J233" s="337">
        <v>22417.984162506451</v>
      </c>
      <c r="K233" s="337">
        <v>22230.762824926831</v>
      </c>
      <c r="L233" s="337">
        <v>22052.649552418654</v>
      </c>
      <c r="M233" s="360">
        <f t="shared" si="31"/>
        <v>21851.307801218922</v>
      </c>
      <c r="N233" s="360">
        <f t="shared" si="31"/>
        <v>21651.804309892668</v>
      </c>
      <c r="O233" s="360">
        <f t="shared" si="32"/>
        <v>21454.122295038829</v>
      </c>
      <c r="Q233" s="266">
        <v>790</v>
      </c>
      <c r="R233" s="266" t="s">
        <v>353</v>
      </c>
      <c r="S233" s="360">
        <f t="shared" si="33"/>
        <v>23515</v>
      </c>
      <c r="T233" s="360">
        <f t="shared" si="34"/>
        <v>23276.166293682218</v>
      </c>
      <c r="U233" s="360">
        <f t="shared" si="35"/>
        <v>23044.416637975555</v>
      </c>
      <c r="V233" s="360">
        <f t="shared" si="36"/>
        <v>22828.859097951452</v>
      </c>
      <c r="W233" s="360">
        <f t="shared" si="37"/>
        <v>22619.373601308311</v>
      </c>
      <c r="X233" s="360">
        <f t="shared" si="38"/>
        <v>22417.984162506451</v>
      </c>
      <c r="Y233" s="360">
        <f t="shared" si="39"/>
        <v>22230.762824926831</v>
      </c>
      <c r="Z233" s="360">
        <f t="shared" si="40"/>
        <v>22052.649552418654</v>
      </c>
      <c r="AA233" s="443">
        <v>0.99086995189756455</v>
      </c>
    </row>
    <row r="234" spans="1:27" x14ac:dyDescent="0.2">
      <c r="A234" s="154" t="s">
        <v>253</v>
      </c>
      <c r="B234" s="354">
        <v>2950</v>
      </c>
      <c r="C234" s="354">
        <v>2960</v>
      </c>
      <c r="D234" s="354">
        <v>2917</v>
      </c>
      <c r="E234" s="354">
        <v>2974</v>
      </c>
      <c r="F234" s="331">
        <v>2963.7800687285226</v>
      </c>
      <c r="G234" s="336">
        <v>2957.6481099656362</v>
      </c>
      <c r="H234" s="337">
        <v>2953.5601374570451</v>
      </c>
      <c r="I234" s="337">
        <v>2944.3621993127149</v>
      </c>
      <c r="J234" s="337">
        <v>2939.2522336769762</v>
      </c>
      <c r="K234" s="337">
        <v>2931.076288659794</v>
      </c>
      <c r="L234" s="337">
        <v>2923.9223367697596</v>
      </c>
      <c r="M234" s="360">
        <f t="shared" si="31"/>
        <v>2916.8382479544057</v>
      </c>
      <c r="N234" s="360">
        <f t="shared" si="31"/>
        <v>2909.7713224931235</v>
      </c>
      <c r="O234" s="360">
        <f t="shared" si="32"/>
        <v>2902.7215188024811</v>
      </c>
      <c r="Q234" s="266">
        <v>738</v>
      </c>
      <c r="R234" s="266" t="s">
        <v>253</v>
      </c>
      <c r="S234" s="360">
        <f t="shared" si="33"/>
        <v>2974</v>
      </c>
      <c r="T234" s="360">
        <f t="shared" si="34"/>
        <v>2963.7800687285226</v>
      </c>
      <c r="U234" s="360">
        <f t="shared" si="35"/>
        <v>2957.6481099656362</v>
      </c>
      <c r="V234" s="360">
        <f t="shared" si="36"/>
        <v>2953.5601374570451</v>
      </c>
      <c r="W234" s="360">
        <f t="shared" si="37"/>
        <v>2944.3621993127149</v>
      </c>
      <c r="X234" s="360">
        <f t="shared" si="38"/>
        <v>2939.2522336769762</v>
      </c>
      <c r="Y234" s="360">
        <f t="shared" si="39"/>
        <v>2931.076288659794</v>
      </c>
      <c r="Z234" s="360">
        <f t="shared" si="40"/>
        <v>2923.9223367697596</v>
      </c>
      <c r="AA234" s="443">
        <v>0.99757719665592071</v>
      </c>
    </row>
    <row r="235" spans="1:27" x14ac:dyDescent="0.2">
      <c r="A235" s="154" t="s">
        <v>254</v>
      </c>
      <c r="B235" s="354">
        <v>3326</v>
      </c>
      <c r="C235" s="354">
        <v>3258</v>
      </c>
      <c r="D235" s="354">
        <v>3256</v>
      </c>
      <c r="E235" s="354">
        <v>3216</v>
      </c>
      <c r="F235" s="331">
        <v>3166.1158594491926</v>
      </c>
      <c r="G235" s="336">
        <v>3118.267806267806</v>
      </c>
      <c r="H235" s="337">
        <v>3072.4558404558402</v>
      </c>
      <c r="I235" s="337">
        <v>3028.6799620132952</v>
      </c>
      <c r="J235" s="337">
        <v>2985.9221272554601</v>
      </c>
      <c r="K235" s="337">
        <v>2948.2545109211769</v>
      </c>
      <c r="L235" s="337">
        <v>2909.5688509021838</v>
      </c>
      <c r="M235" s="360">
        <f t="shared" si="31"/>
        <v>2868.2457545629045</v>
      </c>
      <c r="N235" s="360">
        <f t="shared" si="31"/>
        <v>2827.509548714474</v>
      </c>
      <c r="O235" s="360">
        <f t="shared" si="32"/>
        <v>2787.3518980558442</v>
      </c>
      <c r="Q235" s="266">
        <v>739</v>
      </c>
      <c r="R235" s="266" t="s">
        <v>254</v>
      </c>
      <c r="S235" s="360">
        <f t="shared" si="33"/>
        <v>3216</v>
      </c>
      <c r="T235" s="360">
        <f t="shared" si="34"/>
        <v>3166.1158594491926</v>
      </c>
      <c r="U235" s="360">
        <f t="shared" si="35"/>
        <v>3118.267806267806</v>
      </c>
      <c r="V235" s="360">
        <f t="shared" si="36"/>
        <v>3072.4558404558402</v>
      </c>
      <c r="W235" s="360">
        <f t="shared" si="37"/>
        <v>3028.6799620132952</v>
      </c>
      <c r="X235" s="360">
        <f t="shared" si="38"/>
        <v>2985.9221272554601</v>
      </c>
      <c r="Y235" s="360">
        <f t="shared" si="39"/>
        <v>2948.2545109211769</v>
      </c>
      <c r="Z235" s="360">
        <f t="shared" si="40"/>
        <v>2909.5688509021838</v>
      </c>
      <c r="AA235" s="443">
        <v>0.98579751899444956</v>
      </c>
    </row>
    <row r="236" spans="1:27" x14ac:dyDescent="0.2">
      <c r="A236" s="154" t="s">
        <v>255</v>
      </c>
      <c r="B236" s="354">
        <v>32662</v>
      </c>
      <c r="C236" s="354">
        <v>32110</v>
      </c>
      <c r="D236" s="354">
        <v>32085</v>
      </c>
      <c r="E236" s="354">
        <v>31843</v>
      </c>
      <c r="F236" s="331">
        <v>31363.150146194133</v>
      </c>
      <c r="G236" s="336">
        <v>30905.809240754428</v>
      </c>
      <c r="H236" s="337">
        <v>30463.815345564373</v>
      </c>
      <c r="I236" s="337">
        <v>30037.168460623972</v>
      </c>
      <c r="J236" s="337">
        <v>29624.845451916586</v>
      </c>
      <c r="K236" s="337">
        <v>29225.823185425568</v>
      </c>
      <c r="L236" s="337">
        <v>28837.032259100983</v>
      </c>
      <c r="M236" s="360">
        <f t="shared" si="31"/>
        <v>28431.431273787864</v>
      </c>
      <c r="N236" s="360">
        <f t="shared" si="31"/>
        <v>28031.535180635936</v>
      </c>
      <c r="O236" s="360">
        <f t="shared" si="32"/>
        <v>27637.263738729253</v>
      </c>
      <c r="Q236" s="266">
        <v>740</v>
      </c>
      <c r="R236" s="266" t="s">
        <v>255</v>
      </c>
      <c r="S236" s="360">
        <f t="shared" si="33"/>
        <v>31843</v>
      </c>
      <c r="T236" s="360">
        <f t="shared" si="34"/>
        <v>31363.150146194133</v>
      </c>
      <c r="U236" s="360">
        <f t="shared" si="35"/>
        <v>30905.809240754428</v>
      </c>
      <c r="V236" s="360">
        <f t="shared" si="36"/>
        <v>30463.815345564373</v>
      </c>
      <c r="W236" s="360">
        <f t="shared" si="37"/>
        <v>30037.168460623972</v>
      </c>
      <c r="X236" s="360">
        <f t="shared" si="38"/>
        <v>29624.845451916586</v>
      </c>
      <c r="Y236" s="360">
        <f t="shared" si="39"/>
        <v>29225.823185425568</v>
      </c>
      <c r="Z236" s="360">
        <f t="shared" si="40"/>
        <v>28837.032259100983</v>
      </c>
      <c r="AA236" s="443">
        <v>0.98593471818913991</v>
      </c>
    </row>
    <row r="237" spans="1:27" x14ac:dyDescent="0.2">
      <c r="A237" s="154" t="s">
        <v>256</v>
      </c>
      <c r="B237" s="354">
        <v>1009</v>
      </c>
      <c r="C237" s="354">
        <v>971</v>
      </c>
      <c r="D237" s="354">
        <v>988</v>
      </c>
      <c r="E237" s="354">
        <v>978</v>
      </c>
      <c r="F237" s="331">
        <v>970.05685279187821</v>
      </c>
      <c r="G237" s="336">
        <v>965.09238578680208</v>
      </c>
      <c r="H237" s="337">
        <v>960.12791878172595</v>
      </c>
      <c r="I237" s="337">
        <v>957.1492385786803</v>
      </c>
      <c r="J237" s="337">
        <v>953.17766497461935</v>
      </c>
      <c r="K237" s="337">
        <v>947.22030456852804</v>
      </c>
      <c r="L237" s="337">
        <v>942.25583756345191</v>
      </c>
      <c r="M237" s="360">
        <f t="shared" si="31"/>
        <v>937.25832611209489</v>
      </c>
      <c r="N237" s="360">
        <f t="shared" si="31"/>
        <v>932.28732032906157</v>
      </c>
      <c r="O237" s="360">
        <f t="shared" si="32"/>
        <v>927.34267963429306</v>
      </c>
      <c r="Q237" s="266">
        <v>742</v>
      </c>
      <c r="R237" s="266" t="s">
        <v>256</v>
      </c>
      <c r="S237" s="360">
        <f t="shared" si="33"/>
        <v>978</v>
      </c>
      <c r="T237" s="360">
        <f t="shared" si="34"/>
        <v>970.05685279187821</v>
      </c>
      <c r="U237" s="360">
        <f t="shared" si="35"/>
        <v>965.09238578680208</v>
      </c>
      <c r="V237" s="360">
        <f t="shared" si="36"/>
        <v>960.12791878172595</v>
      </c>
      <c r="W237" s="360">
        <f t="shared" si="37"/>
        <v>957.1492385786803</v>
      </c>
      <c r="X237" s="360">
        <f t="shared" si="38"/>
        <v>953.17766497461935</v>
      </c>
      <c r="Y237" s="360">
        <f t="shared" si="39"/>
        <v>947.22030456852804</v>
      </c>
      <c r="Z237" s="360">
        <f t="shared" si="40"/>
        <v>942.25583756345191</v>
      </c>
      <c r="AA237" s="443">
        <v>0.99469622659565593</v>
      </c>
    </row>
    <row r="238" spans="1:27" x14ac:dyDescent="0.2">
      <c r="A238" s="154" t="s">
        <v>257</v>
      </c>
      <c r="B238" s="354">
        <v>64130</v>
      </c>
      <c r="C238" s="354">
        <v>64774</v>
      </c>
      <c r="D238" s="354">
        <v>65323</v>
      </c>
      <c r="E238" s="354">
        <v>66160</v>
      </c>
      <c r="F238" s="331">
        <v>66592.260245808007</v>
      </c>
      <c r="G238" s="336">
        <v>66990.262103836358</v>
      </c>
      <c r="H238" s="337">
        <v>67363.073970850266</v>
      </c>
      <c r="I238" s="337">
        <v>67712.711046130877</v>
      </c>
      <c r="J238" s="337">
        <v>68029.09733327241</v>
      </c>
      <c r="K238" s="337">
        <v>68313.240431915445</v>
      </c>
      <c r="L238" s="337">
        <v>68567.155541341141</v>
      </c>
      <c r="M238" s="360">
        <f t="shared" si="31"/>
        <v>68918.140535868399</v>
      </c>
      <c r="N238" s="360">
        <f t="shared" si="31"/>
        <v>69270.922169988058</v>
      </c>
      <c r="O238" s="360">
        <f t="shared" si="32"/>
        <v>69625.509640428951</v>
      </c>
      <c r="Q238" s="266">
        <v>743</v>
      </c>
      <c r="R238" s="266" t="s">
        <v>257</v>
      </c>
      <c r="S238" s="360">
        <f t="shared" si="33"/>
        <v>66160</v>
      </c>
      <c r="T238" s="360">
        <f t="shared" si="34"/>
        <v>66592.260245808007</v>
      </c>
      <c r="U238" s="360">
        <f t="shared" si="35"/>
        <v>66990.262103836358</v>
      </c>
      <c r="V238" s="360">
        <f t="shared" si="36"/>
        <v>67363.073970850266</v>
      </c>
      <c r="W238" s="360">
        <f t="shared" si="37"/>
        <v>67712.711046130877</v>
      </c>
      <c r="X238" s="360">
        <f t="shared" si="38"/>
        <v>68029.09733327241</v>
      </c>
      <c r="Y238" s="360">
        <f t="shared" si="39"/>
        <v>68313.240431915445</v>
      </c>
      <c r="Z238" s="360">
        <f t="shared" si="40"/>
        <v>68567.155541341141</v>
      </c>
      <c r="AA238" s="443">
        <v>1.0051188501514496</v>
      </c>
    </row>
    <row r="239" spans="1:27" x14ac:dyDescent="0.2">
      <c r="A239" s="154" t="s">
        <v>258</v>
      </c>
      <c r="B239" s="354">
        <v>4834</v>
      </c>
      <c r="C239" s="354">
        <v>4798</v>
      </c>
      <c r="D239" s="354">
        <v>4735</v>
      </c>
      <c r="E239" s="354">
        <v>4713</v>
      </c>
      <c r="F239" s="331">
        <v>4641.9140271493216</v>
      </c>
      <c r="G239" s="336">
        <v>4571.8435681965102</v>
      </c>
      <c r="H239" s="337">
        <v>4499.7420814479647</v>
      </c>
      <c r="I239" s="337">
        <v>4431.7026502908866</v>
      </c>
      <c r="J239" s="337">
        <v>4365.6942469295418</v>
      </c>
      <c r="K239" s="337">
        <v>4302.7323852617983</v>
      </c>
      <c r="L239" s="337">
        <v>4242.8170652876552</v>
      </c>
      <c r="M239" s="360">
        <f t="shared" si="31"/>
        <v>4179.5923462531709</v>
      </c>
      <c r="N239" s="360">
        <f t="shared" si="31"/>
        <v>4117.3097760399723</v>
      </c>
      <c r="O239" s="360">
        <f t="shared" si="32"/>
        <v>4055.9553151328973</v>
      </c>
      <c r="Q239" s="266">
        <v>746</v>
      </c>
      <c r="R239" s="266" t="s">
        <v>258</v>
      </c>
      <c r="S239" s="360">
        <f t="shared" si="33"/>
        <v>4713</v>
      </c>
      <c r="T239" s="360">
        <f t="shared" si="34"/>
        <v>4641.9140271493216</v>
      </c>
      <c r="U239" s="360">
        <f t="shared" si="35"/>
        <v>4571.8435681965102</v>
      </c>
      <c r="V239" s="360">
        <f t="shared" si="36"/>
        <v>4499.7420814479647</v>
      </c>
      <c r="W239" s="360">
        <f t="shared" si="37"/>
        <v>4431.7026502908866</v>
      </c>
      <c r="X239" s="360">
        <f t="shared" si="38"/>
        <v>4365.6942469295418</v>
      </c>
      <c r="Y239" s="360">
        <f t="shared" si="39"/>
        <v>4302.7323852617983</v>
      </c>
      <c r="Z239" s="360">
        <f t="shared" si="40"/>
        <v>4242.8170652876552</v>
      </c>
      <c r="AA239" s="443">
        <v>0.98509841031050971</v>
      </c>
    </row>
    <row r="240" spans="1:27" x14ac:dyDescent="0.2">
      <c r="A240" s="154" t="s">
        <v>259</v>
      </c>
      <c r="B240" s="354">
        <v>1385</v>
      </c>
      <c r="C240" s="354">
        <v>1378</v>
      </c>
      <c r="D240" s="354">
        <v>1308</v>
      </c>
      <c r="E240" s="354">
        <v>1283</v>
      </c>
      <c r="F240" s="331">
        <v>1262.4798172124906</v>
      </c>
      <c r="G240" s="336">
        <v>1245.868240670221</v>
      </c>
      <c r="H240" s="337">
        <v>1229.2566641279514</v>
      </c>
      <c r="I240" s="337">
        <v>1214.5993907083018</v>
      </c>
      <c r="J240" s="337">
        <v>1197.0106626047223</v>
      </c>
      <c r="K240" s="337">
        <v>1181.3762376237626</v>
      </c>
      <c r="L240" s="337">
        <v>1164.7646610814929</v>
      </c>
      <c r="M240" s="360">
        <f t="shared" si="31"/>
        <v>1148.788690789476</v>
      </c>
      <c r="N240" s="360">
        <f t="shared" si="31"/>
        <v>1133.0318477042672</v>
      </c>
      <c r="O240" s="360">
        <f t="shared" si="32"/>
        <v>1117.4911262661483</v>
      </c>
      <c r="Q240" s="266">
        <v>747</v>
      </c>
      <c r="R240" s="266" t="s">
        <v>259</v>
      </c>
      <c r="S240" s="360">
        <f t="shared" si="33"/>
        <v>1283</v>
      </c>
      <c r="T240" s="360">
        <f t="shared" si="34"/>
        <v>1262.4798172124906</v>
      </c>
      <c r="U240" s="360">
        <f t="shared" si="35"/>
        <v>1245.868240670221</v>
      </c>
      <c r="V240" s="360">
        <f t="shared" si="36"/>
        <v>1229.2566641279514</v>
      </c>
      <c r="W240" s="360">
        <f t="shared" si="37"/>
        <v>1214.5993907083018</v>
      </c>
      <c r="X240" s="360">
        <f t="shared" si="38"/>
        <v>1197.0106626047223</v>
      </c>
      <c r="Y240" s="360">
        <f t="shared" si="39"/>
        <v>1181.3762376237626</v>
      </c>
      <c r="Z240" s="360">
        <f t="shared" si="40"/>
        <v>1164.7646610814929</v>
      </c>
      <c r="AA240" s="443">
        <v>0.98628395003228975</v>
      </c>
    </row>
    <row r="241" spans="1:27" x14ac:dyDescent="0.2">
      <c r="A241" s="154" t="s">
        <v>260</v>
      </c>
      <c r="B241" s="354">
        <v>5034</v>
      </c>
      <c r="C241" s="354">
        <v>5057</v>
      </c>
      <c r="D241" s="354">
        <v>4897</v>
      </c>
      <c r="E241" s="354">
        <v>4837</v>
      </c>
      <c r="F241" s="331">
        <v>4749.3140809443512</v>
      </c>
      <c r="G241" s="336">
        <v>4663.6673693086004</v>
      </c>
      <c r="H241" s="337">
        <v>4586.1774873524455</v>
      </c>
      <c r="I241" s="337">
        <v>4511.746416526139</v>
      </c>
      <c r="J241" s="337">
        <v>4439.3545531197306</v>
      </c>
      <c r="K241" s="337">
        <v>4372.0607082630695</v>
      </c>
      <c r="L241" s="337">
        <v>4305.7864671163579</v>
      </c>
      <c r="M241" s="360">
        <f t="shared" si="31"/>
        <v>4234.8215723096118</v>
      </c>
      <c r="N241" s="360">
        <f t="shared" si="31"/>
        <v>4165.0262701738893</v>
      </c>
      <c r="O241" s="360">
        <f t="shared" si="32"/>
        <v>4096.3812843188034</v>
      </c>
      <c r="Q241" s="266">
        <v>748</v>
      </c>
      <c r="R241" s="266" t="s">
        <v>260</v>
      </c>
      <c r="S241" s="360">
        <f t="shared" si="33"/>
        <v>4837</v>
      </c>
      <c r="T241" s="360">
        <f t="shared" si="34"/>
        <v>4749.3140809443512</v>
      </c>
      <c r="U241" s="360">
        <f t="shared" si="35"/>
        <v>4663.6673693086004</v>
      </c>
      <c r="V241" s="360">
        <f t="shared" si="36"/>
        <v>4586.1774873524455</v>
      </c>
      <c r="W241" s="360">
        <f t="shared" si="37"/>
        <v>4511.746416526139</v>
      </c>
      <c r="X241" s="360">
        <f t="shared" si="38"/>
        <v>4439.3545531197306</v>
      </c>
      <c r="Y241" s="360">
        <f t="shared" si="39"/>
        <v>4372.0607082630695</v>
      </c>
      <c r="Z241" s="360">
        <f t="shared" si="40"/>
        <v>4305.7864671163579</v>
      </c>
      <c r="AA241" s="443">
        <v>0.98351871479259112</v>
      </c>
    </row>
    <row r="242" spans="1:27" x14ac:dyDescent="0.2">
      <c r="A242" s="154" t="s">
        <v>352</v>
      </c>
      <c r="B242" s="354">
        <v>5203</v>
      </c>
      <c r="C242" s="354">
        <v>4963</v>
      </c>
      <c r="D242" s="354">
        <v>5029</v>
      </c>
      <c r="E242" s="354">
        <v>4931</v>
      </c>
      <c r="F242" s="331">
        <v>4845.8445753758633</v>
      </c>
      <c r="G242" s="336">
        <v>4765.6982933766758</v>
      </c>
      <c r="H242" s="337">
        <v>4687.5556684274679</v>
      </c>
      <c r="I242" s="337">
        <v>4614.4221861032092</v>
      </c>
      <c r="J242" s="337">
        <v>4545.2960178789099</v>
      </c>
      <c r="K242" s="337">
        <v>4478.1735067045902</v>
      </c>
      <c r="L242" s="337">
        <v>4416.0601381552196</v>
      </c>
      <c r="M242" s="360">
        <f t="shared" si="31"/>
        <v>4347.0274869102086</v>
      </c>
      <c r="N242" s="360">
        <f t="shared" si="31"/>
        <v>4279.0739665621577</v>
      </c>
      <c r="O242" s="360">
        <f t="shared" si="32"/>
        <v>4212.1827079415971</v>
      </c>
      <c r="Q242" s="266">
        <v>791</v>
      </c>
      <c r="R242" s="266" t="s">
        <v>352</v>
      </c>
      <c r="S242" s="360">
        <f t="shared" si="33"/>
        <v>4931</v>
      </c>
      <c r="T242" s="360">
        <f t="shared" si="34"/>
        <v>4845.8445753758633</v>
      </c>
      <c r="U242" s="360">
        <f t="shared" si="35"/>
        <v>4765.6982933766758</v>
      </c>
      <c r="V242" s="360">
        <f t="shared" si="36"/>
        <v>4687.5556684274679</v>
      </c>
      <c r="W242" s="360">
        <f t="shared" si="37"/>
        <v>4614.4221861032092</v>
      </c>
      <c r="X242" s="360">
        <f t="shared" si="38"/>
        <v>4545.2960178789099</v>
      </c>
      <c r="Y242" s="360">
        <f t="shared" si="39"/>
        <v>4478.1735067045902</v>
      </c>
      <c r="Z242" s="360">
        <f t="shared" si="40"/>
        <v>4416.0601381552196</v>
      </c>
      <c r="AA242" s="443">
        <v>0.98436781903204584</v>
      </c>
    </row>
    <row r="243" spans="1:27" x14ac:dyDescent="0.2">
      <c r="A243" s="154" t="s">
        <v>261</v>
      </c>
      <c r="B243" s="354">
        <v>21251</v>
      </c>
      <c r="C243" s="354">
        <v>21593</v>
      </c>
      <c r="D243" s="354">
        <v>21232</v>
      </c>
      <c r="E243" s="354">
        <v>21290</v>
      </c>
      <c r="F243" s="331">
        <v>21188.347975553857</v>
      </c>
      <c r="G243" s="336">
        <v>21083.646390374332</v>
      </c>
      <c r="H243" s="337">
        <v>20967.763082505731</v>
      </c>
      <c r="I243" s="337">
        <v>20846.797173414823</v>
      </c>
      <c r="J243" s="337">
        <v>20723.798223834994</v>
      </c>
      <c r="K243" s="337">
        <v>20596.733193277316</v>
      </c>
      <c r="L243" s="337">
        <v>20468.651642475175</v>
      </c>
      <c r="M243" s="360">
        <f t="shared" si="31"/>
        <v>20353.934685458324</v>
      </c>
      <c r="N243" s="360">
        <f t="shared" si="31"/>
        <v>20239.86066186264</v>
      </c>
      <c r="O243" s="360">
        <f t="shared" si="32"/>
        <v>20126.425968355237</v>
      </c>
      <c r="Q243" s="266">
        <v>749</v>
      </c>
      <c r="R243" s="266" t="s">
        <v>261</v>
      </c>
      <c r="S243" s="360">
        <f t="shared" si="33"/>
        <v>21290</v>
      </c>
      <c r="T243" s="360">
        <f t="shared" si="34"/>
        <v>21188.347975553857</v>
      </c>
      <c r="U243" s="360">
        <f t="shared" si="35"/>
        <v>21083.646390374332</v>
      </c>
      <c r="V243" s="360">
        <f t="shared" si="36"/>
        <v>20967.763082505731</v>
      </c>
      <c r="W243" s="360">
        <f t="shared" si="37"/>
        <v>20846.797173414823</v>
      </c>
      <c r="X243" s="360">
        <f t="shared" si="38"/>
        <v>20723.798223834994</v>
      </c>
      <c r="Y243" s="360">
        <f t="shared" si="39"/>
        <v>20596.733193277316</v>
      </c>
      <c r="Z243" s="360">
        <f t="shared" si="40"/>
        <v>20468.651642475175</v>
      </c>
      <c r="AA243" s="443">
        <v>0.99439548051231674</v>
      </c>
    </row>
    <row r="244" spans="1:27" x14ac:dyDescent="0.2">
      <c r="A244" s="154" t="s">
        <v>262</v>
      </c>
      <c r="B244" s="354">
        <v>2950</v>
      </c>
      <c r="C244" s="354">
        <v>2882</v>
      </c>
      <c r="D244" s="354">
        <v>2877</v>
      </c>
      <c r="E244" s="354">
        <v>2828</v>
      </c>
      <c r="F244" s="331">
        <v>2784.6937321937321</v>
      </c>
      <c r="G244" s="336">
        <v>2739.3732193732194</v>
      </c>
      <c r="H244" s="337">
        <v>2697.0740740740744</v>
      </c>
      <c r="I244" s="337">
        <v>2659.8105413105418</v>
      </c>
      <c r="J244" s="337">
        <v>2618.5185185185187</v>
      </c>
      <c r="K244" s="337">
        <v>2581.2549857549857</v>
      </c>
      <c r="L244" s="337">
        <v>2543.9914529914531</v>
      </c>
      <c r="M244" s="360">
        <f t="shared" si="31"/>
        <v>2505.8180939228259</v>
      </c>
      <c r="N244" s="360">
        <f t="shared" si="31"/>
        <v>2468.2175376208388</v>
      </c>
      <c r="O244" s="360">
        <f t="shared" si="32"/>
        <v>2431.1811890072099</v>
      </c>
      <c r="Q244" s="266">
        <v>751</v>
      </c>
      <c r="R244" s="266" t="s">
        <v>262</v>
      </c>
      <c r="S244" s="360">
        <f t="shared" si="33"/>
        <v>2828</v>
      </c>
      <c r="T244" s="360">
        <f t="shared" si="34"/>
        <v>2784.6937321937321</v>
      </c>
      <c r="U244" s="360">
        <f t="shared" si="35"/>
        <v>2739.3732193732194</v>
      </c>
      <c r="V244" s="360">
        <f t="shared" si="36"/>
        <v>2697.0740740740744</v>
      </c>
      <c r="W244" s="360">
        <f t="shared" si="37"/>
        <v>2659.8105413105418</v>
      </c>
      <c r="X244" s="360">
        <f t="shared" si="38"/>
        <v>2618.5185185185187</v>
      </c>
      <c r="Y244" s="360">
        <f t="shared" si="39"/>
        <v>2581.2549857549857</v>
      </c>
      <c r="Z244" s="360">
        <f t="shared" si="40"/>
        <v>2543.9914529914531</v>
      </c>
      <c r="AA244" s="443">
        <v>0.98499469838086928</v>
      </c>
    </row>
    <row r="245" spans="1:27" x14ac:dyDescent="0.2">
      <c r="A245" s="154" t="s">
        <v>263</v>
      </c>
      <c r="B245" s="354">
        <v>21687</v>
      </c>
      <c r="C245" s="354">
        <v>21551</v>
      </c>
      <c r="D245" s="354">
        <v>22320</v>
      </c>
      <c r="E245" s="354">
        <v>22595</v>
      </c>
      <c r="F245" s="331">
        <v>22965.571834681828</v>
      </c>
      <c r="G245" s="336">
        <v>23325.273562212988</v>
      </c>
      <c r="H245" s="337">
        <v>23677.06975727094</v>
      </c>
      <c r="I245" s="337">
        <v>24015.031270500764</v>
      </c>
      <c r="J245" s="337">
        <v>24340.146293461625</v>
      </c>
      <c r="K245" s="337">
        <v>24652.414826153508</v>
      </c>
      <c r="L245" s="337">
        <v>24954.80144325388</v>
      </c>
      <c r="M245" s="360">
        <f t="shared" si="31"/>
        <v>25311.486080445189</v>
      </c>
      <c r="N245" s="360">
        <f t="shared" si="31"/>
        <v>25673.268892057866</v>
      </c>
      <c r="O245" s="360">
        <f t="shared" si="32"/>
        <v>26040.222747455264</v>
      </c>
      <c r="Q245" s="266">
        <v>753</v>
      </c>
      <c r="R245" s="266" t="s">
        <v>263</v>
      </c>
      <c r="S245" s="360">
        <f t="shared" si="33"/>
        <v>22595</v>
      </c>
      <c r="T245" s="360">
        <f t="shared" si="34"/>
        <v>22965.571834681828</v>
      </c>
      <c r="U245" s="360">
        <f t="shared" si="35"/>
        <v>23325.273562212988</v>
      </c>
      <c r="V245" s="360">
        <f t="shared" si="36"/>
        <v>23677.06975727094</v>
      </c>
      <c r="W245" s="360">
        <f t="shared" si="37"/>
        <v>24015.031270500764</v>
      </c>
      <c r="X245" s="360">
        <f t="shared" si="38"/>
        <v>24340.146293461625</v>
      </c>
      <c r="Y245" s="360">
        <f t="shared" si="39"/>
        <v>24652.414826153508</v>
      </c>
      <c r="Z245" s="360">
        <f t="shared" si="40"/>
        <v>24954.80144325388</v>
      </c>
      <c r="AA245" s="443">
        <v>1.0142932268165865</v>
      </c>
    </row>
    <row r="246" spans="1:27" x14ac:dyDescent="0.2">
      <c r="A246" s="154" t="s">
        <v>264</v>
      </c>
      <c r="B246" s="354">
        <v>6149</v>
      </c>
      <c r="C246" s="354">
        <v>6103</v>
      </c>
      <c r="D246" s="354">
        <v>6217</v>
      </c>
      <c r="E246" s="354">
        <v>6158</v>
      </c>
      <c r="F246" s="331">
        <v>6166.9650598511807</v>
      </c>
      <c r="G246" s="336">
        <v>6175.9301197023624</v>
      </c>
      <c r="H246" s="337">
        <v>6182.9029440310587</v>
      </c>
      <c r="I246" s="337">
        <v>6187.8835328372706</v>
      </c>
      <c r="J246" s="337">
        <v>6192.8641216434817</v>
      </c>
      <c r="K246" s="337">
        <v>6195.8524749272083</v>
      </c>
      <c r="L246" s="337">
        <v>6203.8214170171459</v>
      </c>
      <c r="M246" s="360">
        <f t="shared" si="31"/>
        <v>6210.3954756798184</v>
      </c>
      <c r="N246" s="360">
        <f t="shared" si="31"/>
        <v>6216.9765007337519</v>
      </c>
      <c r="O246" s="360">
        <f t="shared" si="32"/>
        <v>6223.5644995610828</v>
      </c>
      <c r="Q246" s="266">
        <v>755</v>
      </c>
      <c r="R246" s="266" t="s">
        <v>264</v>
      </c>
      <c r="S246" s="360">
        <f t="shared" si="33"/>
        <v>6158</v>
      </c>
      <c r="T246" s="360">
        <f t="shared" si="34"/>
        <v>6166.9650598511807</v>
      </c>
      <c r="U246" s="360">
        <f t="shared" si="35"/>
        <v>6175.9301197023624</v>
      </c>
      <c r="V246" s="360">
        <f t="shared" si="36"/>
        <v>6182.9029440310587</v>
      </c>
      <c r="W246" s="360">
        <f t="shared" si="37"/>
        <v>6187.8835328372706</v>
      </c>
      <c r="X246" s="360">
        <f t="shared" si="38"/>
        <v>6192.8641216434817</v>
      </c>
      <c r="Y246" s="360">
        <f t="shared" si="39"/>
        <v>6195.8524749272083</v>
      </c>
      <c r="Z246" s="360">
        <f t="shared" si="40"/>
        <v>6203.8214170171459</v>
      </c>
      <c r="AA246" s="443">
        <v>1.0010596789012398</v>
      </c>
    </row>
    <row r="247" spans="1:27" x14ac:dyDescent="0.2">
      <c r="A247" s="154" t="s">
        <v>265</v>
      </c>
      <c r="B247" s="354">
        <v>8266</v>
      </c>
      <c r="C247" s="354">
        <v>8158</v>
      </c>
      <c r="D247" s="354">
        <v>8134</v>
      </c>
      <c r="E247" s="354">
        <v>8126</v>
      </c>
      <c r="F247" s="331">
        <v>8035.2351907630527</v>
      </c>
      <c r="G247" s="336">
        <v>7952.6290160642575</v>
      </c>
      <c r="H247" s="337">
        <v>7870.0228413654622</v>
      </c>
      <c r="I247" s="337">
        <v>7786.3968373493981</v>
      </c>
      <c r="J247" s="337">
        <v>7706.8501506024095</v>
      </c>
      <c r="K247" s="337">
        <v>7632.4026104417671</v>
      </c>
      <c r="L247" s="337">
        <v>7555.9154116465861</v>
      </c>
      <c r="M247" s="360">
        <f t="shared" si="31"/>
        <v>7477.808027474287</v>
      </c>
      <c r="N247" s="360">
        <f t="shared" si="31"/>
        <v>7400.5080588340397</v>
      </c>
      <c r="O247" s="360">
        <f t="shared" si="32"/>
        <v>7324.0071592698951</v>
      </c>
      <c r="Q247" s="266">
        <v>758</v>
      </c>
      <c r="R247" s="266" t="s">
        <v>265</v>
      </c>
      <c r="S247" s="360">
        <f t="shared" si="33"/>
        <v>8126</v>
      </c>
      <c r="T247" s="360">
        <f t="shared" si="34"/>
        <v>8035.2351907630527</v>
      </c>
      <c r="U247" s="360">
        <f t="shared" si="35"/>
        <v>7952.6290160642575</v>
      </c>
      <c r="V247" s="360">
        <f t="shared" si="36"/>
        <v>7870.0228413654622</v>
      </c>
      <c r="W247" s="360">
        <f t="shared" si="37"/>
        <v>7786.3968373493981</v>
      </c>
      <c r="X247" s="360">
        <f t="shared" si="38"/>
        <v>7706.8501506024095</v>
      </c>
      <c r="Y247" s="360">
        <f t="shared" si="39"/>
        <v>7632.4026104417671</v>
      </c>
      <c r="Z247" s="360">
        <f t="shared" si="40"/>
        <v>7555.9154116465861</v>
      </c>
      <c r="AA247" s="443">
        <v>0.98966275031984796</v>
      </c>
    </row>
    <row r="248" spans="1:27" x14ac:dyDescent="0.2">
      <c r="A248" s="154" t="s">
        <v>266</v>
      </c>
      <c r="B248" s="354">
        <v>2007</v>
      </c>
      <c r="C248" s="354">
        <v>1959</v>
      </c>
      <c r="D248" s="354">
        <v>1942</v>
      </c>
      <c r="E248" s="354">
        <v>1873</v>
      </c>
      <c r="F248" s="331">
        <v>1841.2878306878308</v>
      </c>
      <c r="G248" s="336">
        <v>1811.557671957672</v>
      </c>
      <c r="H248" s="337">
        <v>1778.8544973544974</v>
      </c>
      <c r="I248" s="337">
        <v>1750.1153439153441</v>
      </c>
      <c r="J248" s="337">
        <v>1721.3761904761907</v>
      </c>
      <c r="K248" s="337">
        <v>1693.6280423280425</v>
      </c>
      <c r="L248" s="337">
        <v>1663.8978835978837</v>
      </c>
      <c r="M248" s="360">
        <f t="shared" si="31"/>
        <v>1635.9963890369459</v>
      </c>
      <c r="N248" s="360">
        <f t="shared" si="31"/>
        <v>1608.5627677790562</v>
      </c>
      <c r="O248" s="360">
        <f t="shared" si="32"/>
        <v>1581.5891741718171</v>
      </c>
      <c r="Q248" s="266">
        <v>759</v>
      </c>
      <c r="R248" s="266" t="s">
        <v>266</v>
      </c>
      <c r="S248" s="360">
        <f t="shared" si="33"/>
        <v>1873</v>
      </c>
      <c r="T248" s="360">
        <f t="shared" si="34"/>
        <v>1841.2878306878308</v>
      </c>
      <c r="U248" s="360">
        <f t="shared" si="35"/>
        <v>1811.557671957672</v>
      </c>
      <c r="V248" s="360">
        <f t="shared" si="36"/>
        <v>1778.8544973544974</v>
      </c>
      <c r="W248" s="360">
        <f t="shared" si="37"/>
        <v>1750.1153439153441</v>
      </c>
      <c r="X248" s="360">
        <f t="shared" si="38"/>
        <v>1721.3761904761907</v>
      </c>
      <c r="Y248" s="360">
        <f t="shared" si="39"/>
        <v>1693.6280423280425</v>
      </c>
      <c r="Z248" s="360">
        <f t="shared" si="40"/>
        <v>1663.8978835978837</v>
      </c>
      <c r="AA248" s="443">
        <v>0.98323124583787203</v>
      </c>
    </row>
    <row r="249" spans="1:27" x14ac:dyDescent="0.2">
      <c r="A249" s="154" t="s">
        <v>267</v>
      </c>
      <c r="B249" s="354">
        <v>8646</v>
      </c>
      <c r="C249" s="354">
        <v>8604</v>
      </c>
      <c r="D249" s="354">
        <v>8426</v>
      </c>
      <c r="E249" s="354">
        <v>8410</v>
      </c>
      <c r="F249" s="331">
        <v>8328.5934512428303</v>
      </c>
      <c r="G249" s="336">
        <v>8253.2170172084134</v>
      </c>
      <c r="H249" s="337">
        <v>8181.860659655832</v>
      </c>
      <c r="I249" s="337">
        <v>8114.5243785850871</v>
      </c>
      <c r="J249" s="337">
        <v>8054.2232313575532</v>
      </c>
      <c r="K249" s="337">
        <v>7995.9321223709376</v>
      </c>
      <c r="L249" s="337">
        <v>7937.6410133843219</v>
      </c>
      <c r="M249" s="360">
        <f t="shared" si="31"/>
        <v>7872.3657381772337</v>
      </c>
      <c r="N249" s="360">
        <f t="shared" si="31"/>
        <v>7807.6272548893285</v>
      </c>
      <c r="O249" s="360">
        <f t="shared" si="32"/>
        <v>7743.421149206556</v>
      </c>
      <c r="Q249" s="266">
        <v>761</v>
      </c>
      <c r="R249" s="266" t="s">
        <v>267</v>
      </c>
      <c r="S249" s="360">
        <f t="shared" si="33"/>
        <v>8410</v>
      </c>
      <c r="T249" s="360">
        <f t="shared" si="34"/>
        <v>8328.5934512428303</v>
      </c>
      <c r="U249" s="360">
        <f t="shared" si="35"/>
        <v>8253.2170172084134</v>
      </c>
      <c r="V249" s="360">
        <f t="shared" si="36"/>
        <v>8181.860659655832</v>
      </c>
      <c r="W249" s="360">
        <f t="shared" si="37"/>
        <v>8114.5243785850871</v>
      </c>
      <c r="X249" s="360">
        <f t="shared" si="38"/>
        <v>8054.2232313575532</v>
      </c>
      <c r="Y249" s="360">
        <f t="shared" si="39"/>
        <v>7995.9321223709376</v>
      </c>
      <c r="Z249" s="360">
        <f t="shared" si="40"/>
        <v>7937.6410133843219</v>
      </c>
      <c r="AA249" s="443">
        <v>0.99177648937549301</v>
      </c>
    </row>
    <row r="250" spans="1:27" x14ac:dyDescent="0.2">
      <c r="A250" s="154" t="s">
        <v>268</v>
      </c>
      <c r="B250" s="354">
        <v>3841</v>
      </c>
      <c r="C250" s="354">
        <v>3709</v>
      </c>
      <c r="D250" s="354">
        <v>3672</v>
      </c>
      <c r="E250" s="354">
        <v>3637</v>
      </c>
      <c r="F250" s="331">
        <v>3573.6866537717601</v>
      </c>
      <c r="G250" s="336">
        <v>3514.3932025421386</v>
      </c>
      <c r="H250" s="337">
        <v>3459.1196463111355</v>
      </c>
      <c r="I250" s="337">
        <v>3407.8659850787508</v>
      </c>
      <c r="J250" s="337">
        <v>3357.6172975960208</v>
      </c>
      <c r="K250" s="337">
        <v>3309.3785576126002</v>
      </c>
      <c r="L250" s="337">
        <v>3264.1547388781432</v>
      </c>
      <c r="M250" s="360">
        <f t="shared" si="31"/>
        <v>3214.1097661599997</v>
      </c>
      <c r="N250" s="360">
        <f t="shared" si="31"/>
        <v>3164.8320668999831</v>
      </c>
      <c r="O250" s="360">
        <f t="shared" si="32"/>
        <v>3116.3098775077146</v>
      </c>
      <c r="Q250" s="266">
        <v>762</v>
      </c>
      <c r="R250" s="266" t="s">
        <v>268</v>
      </c>
      <c r="S250" s="360">
        <f t="shared" si="33"/>
        <v>3637</v>
      </c>
      <c r="T250" s="360">
        <f t="shared" si="34"/>
        <v>3573.6866537717601</v>
      </c>
      <c r="U250" s="360">
        <f t="shared" si="35"/>
        <v>3514.3932025421386</v>
      </c>
      <c r="V250" s="360">
        <f t="shared" si="36"/>
        <v>3459.1196463111355</v>
      </c>
      <c r="W250" s="360">
        <f t="shared" si="37"/>
        <v>3407.8659850787508</v>
      </c>
      <c r="X250" s="360">
        <f t="shared" si="38"/>
        <v>3357.6172975960208</v>
      </c>
      <c r="Y250" s="360">
        <f t="shared" si="39"/>
        <v>3309.3785576126002</v>
      </c>
      <c r="Z250" s="360">
        <f t="shared" si="40"/>
        <v>3264.1547388781432</v>
      </c>
      <c r="AA250" s="443">
        <v>0.98466832098304768</v>
      </c>
    </row>
    <row r="251" spans="1:27" x14ac:dyDescent="0.2">
      <c r="A251" s="154" t="s">
        <v>269</v>
      </c>
      <c r="B251" s="354">
        <v>10301</v>
      </c>
      <c r="C251" s="354">
        <v>10172</v>
      </c>
      <c r="D251" s="354">
        <v>10354</v>
      </c>
      <c r="E251" s="354">
        <v>10274</v>
      </c>
      <c r="F251" s="331">
        <v>10223.379188017343</v>
      </c>
      <c r="G251" s="336">
        <v>10171.745959795033</v>
      </c>
      <c r="H251" s="337">
        <v>10123.149980291682</v>
      </c>
      <c r="I251" s="337">
        <v>10072.529168309025</v>
      </c>
      <c r="J251" s="337">
        <v>10022.920772566022</v>
      </c>
      <c r="K251" s="337">
        <v>9972.2999605833647</v>
      </c>
      <c r="L251" s="337">
        <v>9919.6543161214013</v>
      </c>
      <c r="M251" s="360">
        <f t="shared" si="31"/>
        <v>9870.0412489030568</v>
      </c>
      <c r="N251" s="360">
        <f t="shared" si="31"/>
        <v>9820.6763210210629</v>
      </c>
      <c r="O251" s="360">
        <f t="shared" si="32"/>
        <v>9771.5582914086226</v>
      </c>
      <c r="Q251" s="266">
        <v>765</v>
      </c>
      <c r="R251" s="266" t="s">
        <v>269</v>
      </c>
      <c r="S251" s="360">
        <f t="shared" si="33"/>
        <v>10274</v>
      </c>
      <c r="T251" s="360">
        <f t="shared" si="34"/>
        <v>10223.379188017343</v>
      </c>
      <c r="U251" s="360">
        <f t="shared" si="35"/>
        <v>10171.745959795033</v>
      </c>
      <c r="V251" s="360">
        <f t="shared" si="36"/>
        <v>10123.149980291682</v>
      </c>
      <c r="W251" s="360">
        <f t="shared" si="37"/>
        <v>10072.529168309025</v>
      </c>
      <c r="X251" s="360">
        <f t="shared" si="38"/>
        <v>10022.920772566022</v>
      </c>
      <c r="Y251" s="360">
        <f t="shared" si="39"/>
        <v>9972.2999605833647</v>
      </c>
      <c r="Z251" s="360">
        <f t="shared" si="40"/>
        <v>9919.6543161214013</v>
      </c>
      <c r="AA251" s="443">
        <v>0.99499850845228421</v>
      </c>
    </row>
    <row r="252" spans="1:27" x14ac:dyDescent="0.2">
      <c r="A252" s="154" t="s">
        <v>270</v>
      </c>
      <c r="B252" s="354">
        <v>2482</v>
      </c>
      <c r="C252" s="354">
        <v>2373</v>
      </c>
      <c r="D252" s="354">
        <v>2375</v>
      </c>
      <c r="E252" s="354">
        <v>2368</v>
      </c>
      <c r="F252" s="331">
        <v>2322.4225834046192</v>
      </c>
      <c r="G252" s="336">
        <v>2282.9221556886228</v>
      </c>
      <c r="H252" s="337">
        <v>2246.4602224123182</v>
      </c>
      <c r="I252" s="337">
        <v>2213.0367835757056</v>
      </c>
      <c r="J252" s="337">
        <v>2184.6775021385797</v>
      </c>
      <c r="K252" s="337">
        <v>2154.292557741659</v>
      </c>
      <c r="L252" s="337">
        <v>2123.9076133447388</v>
      </c>
      <c r="M252" s="360">
        <f t="shared" si="31"/>
        <v>2091.1592019511795</v>
      </c>
      <c r="N252" s="360">
        <f t="shared" si="31"/>
        <v>2058.9157364611347</v>
      </c>
      <c r="O252" s="360">
        <f t="shared" si="32"/>
        <v>2027.1694311422705</v>
      </c>
      <c r="Q252" s="266">
        <v>768</v>
      </c>
      <c r="R252" s="266" t="s">
        <v>270</v>
      </c>
      <c r="S252" s="360">
        <f t="shared" si="33"/>
        <v>2368</v>
      </c>
      <c r="T252" s="360">
        <f t="shared" si="34"/>
        <v>2322.4225834046192</v>
      </c>
      <c r="U252" s="360">
        <f t="shared" si="35"/>
        <v>2282.9221556886228</v>
      </c>
      <c r="V252" s="360">
        <f t="shared" si="36"/>
        <v>2246.4602224123182</v>
      </c>
      <c r="W252" s="360">
        <f t="shared" si="37"/>
        <v>2213.0367835757056</v>
      </c>
      <c r="X252" s="360">
        <f t="shared" si="38"/>
        <v>2184.6775021385797</v>
      </c>
      <c r="Y252" s="360">
        <f t="shared" si="39"/>
        <v>2154.292557741659</v>
      </c>
      <c r="Z252" s="360">
        <f t="shared" si="40"/>
        <v>2123.9076133447388</v>
      </c>
      <c r="AA252" s="443">
        <v>0.98458105654511641</v>
      </c>
    </row>
    <row r="253" spans="1:27" x14ac:dyDescent="0.2">
      <c r="A253" s="154" t="s">
        <v>271</v>
      </c>
      <c r="B253" s="354">
        <v>7594</v>
      </c>
      <c r="C253" s="354">
        <v>7377</v>
      </c>
      <c r="D253" s="354">
        <v>7367</v>
      </c>
      <c r="E253" s="354">
        <v>7172</v>
      </c>
      <c r="F253" s="331">
        <v>7042.819882714326</v>
      </c>
      <c r="G253" s="336">
        <v>6918.646746718794</v>
      </c>
      <c r="H253" s="337">
        <v>6800.4819882714328</v>
      </c>
      <c r="I253" s="337">
        <v>6687.3242111142144</v>
      </c>
      <c r="J253" s="337">
        <v>6580.1748115051669</v>
      </c>
      <c r="K253" s="337">
        <v>6476.0296006702047</v>
      </c>
      <c r="L253" s="337">
        <v>6373.8871823512991</v>
      </c>
      <c r="M253" s="360">
        <f t="shared" si="31"/>
        <v>6267.3667783940382</v>
      </c>
      <c r="N253" s="360">
        <f t="shared" si="31"/>
        <v>6162.6265434505367</v>
      </c>
      <c r="O253" s="360">
        <f t="shared" si="32"/>
        <v>6059.6367273358546</v>
      </c>
      <c r="Q253" s="266">
        <v>777</v>
      </c>
      <c r="R253" s="266" t="s">
        <v>271</v>
      </c>
      <c r="S253" s="360">
        <f t="shared" si="33"/>
        <v>7172</v>
      </c>
      <c r="T253" s="360">
        <f t="shared" si="34"/>
        <v>7042.819882714326</v>
      </c>
      <c r="U253" s="360">
        <f t="shared" si="35"/>
        <v>6918.646746718794</v>
      </c>
      <c r="V253" s="360">
        <f t="shared" si="36"/>
        <v>6800.4819882714328</v>
      </c>
      <c r="W253" s="360">
        <f t="shared" si="37"/>
        <v>6687.3242111142144</v>
      </c>
      <c r="X253" s="360">
        <f t="shared" si="38"/>
        <v>6580.1748115051669</v>
      </c>
      <c r="Y253" s="360">
        <f t="shared" si="39"/>
        <v>6476.0296006702047</v>
      </c>
      <c r="Z253" s="360">
        <f t="shared" si="40"/>
        <v>6373.8871823512991</v>
      </c>
      <c r="AA253" s="443">
        <v>0.98328799978571857</v>
      </c>
    </row>
    <row r="254" spans="1:27" x14ac:dyDescent="0.2">
      <c r="A254" s="154" t="s">
        <v>272</v>
      </c>
      <c r="B254" s="354">
        <v>6931</v>
      </c>
      <c r="C254" s="354">
        <v>6937</v>
      </c>
      <c r="D254" s="354">
        <v>6763</v>
      </c>
      <c r="E254" s="354">
        <v>6708</v>
      </c>
      <c r="F254" s="331">
        <v>6628.2270058708409</v>
      </c>
      <c r="G254" s="336">
        <v>6551.4833659491187</v>
      </c>
      <c r="H254" s="337">
        <v>6478.7788649706454</v>
      </c>
      <c r="I254" s="337">
        <v>6411.123287671232</v>
      </c>
      <c r="J254" s="337">
        <v>6342.4579256360075</v>
      </c>
      <c r="K254" s="337">
        <v>6277.831702544031</v>
      </c>
      <c r="L254" s="337">
        <v>6218.2544031311154</v>
      </c>
      <c r="M254" s="360">
        <f t="shared" si="31"/>
        <v>6151.2744816811455</v>
      </c>
      <c r="N254" s="360">
        <f t="shared" si="31"/>
        <v>6085.0160343920243</v>
      </c>
      <c r="O254" s="360">
        <f t="shared" si="32"/>
        <v>6019.4712899055075</v>
      </c>
      <c r="Q254" s="266">
        <v>778</v>
      </c>
      <c r="R254" s="266" t="s">
        <v>272</v>
      </c>
      <c r="S254" s="360">
        <f t="shared" si="33"/>
        <v>6708</v>
      </c>
      <c r="T254" s="360">
        <f t="shared" si="34"/>
        <v>6628.2270058708409</v>
      </c>
      <c r="U254" s="360">
        <f t="shared" si="35"/>
        <v>6551.4833659491187</v>
      </c>
      <c r="V254" s="360">
        <f t="shared" si="36"/>
        <v>6478.7788649706454</v>
      </c>
      <c r="W254" s="360">
        <f t="shared" si="37"/>
        <v>6411.123287671232</v>
      </c>
      <c r="X254" s="360">
        <f t="shared" si="38"/>
        <v>6342.4579256360075</v>
      </c>
      <c r="Y254" s="360">
        <f t="shared" si="39"/>
        <v>6277.831702544031</v>
      </c>
      <c r="Z254" s="360">
        <f t="shared" si="40"/>
        <v>6218.2544031311154</v>
      </c>
      <c r="AA254" s="443">
        <v>0.98922850094131831</v>
      </c>
    </row>
    <row r="255" spans="1:27" x14ac:dyDescent="0.2">
      <c r="A255" s="154" t="s">
        <v>273</v>
      </c>
      <c r="B255" s="354">
        <v>3631</v>
      </c>
      <c r="C255" s="354">
        <v>3523</v>
      </c>
      <c r="D255" s="354">
        <v>3504</v>
      </c>
      <c r="E255" s="354">
        <v>3496</v>
      </c>
      <c r="F255" s="331">
        <v>3429.0859835100118</v>
      </c>
      <c r="G255" s="336">
        <v>3366.2897526501765</v>
      </c>
      <c r="H255" s="337">
        <v>3312.7585394581861</v>
      </c>
      <c r="I255" s="337">
        <v>3262.3156654888103</v>
      </c>
      <c r="J255" s="337">
        <v>3215.9905771495874</v>
      </c>
      <c r="K255" s="337">
        <v>3171.7243816254413</v>
      </c>
      <c r="L255" s="337">
        <v>3129.5170789163722</v>
      </c>
      <c r="M255" s="360">
        <f t="shared" si="31"/>
        <v>3080.4043115757945</v>
      </c>
      <c r="N255" s="360">
        <f t="shared" si="31"/>
        <v>3032.0622906011977</v>
      </c>
      <c r="O255" s="360">
        <f t="shared" si="32"/>
        <v>2984.4789203605728</v>
      </c>
      <c r="Q255" s="266">
        <v>781</v>
      </c>
      <c r="R255" s="266" t="s">
        <v>273</v>
      </c>
      <c r="S255" s="360">
        <f t="shared" si="33"/>
        <v>3496</v>
      </c>
      <c r="T255" s="360">
        <f t="shared" si="34"/>
        <v>3429.0859835100118</v>
      </c>
      <c r="U255" s="360">
        <f t="shared" si="35"/>
        <v>3366.2897526501765</v>
      </c>
      <c r="V255" s="360">
        <f t="shared" si="36"/>
        <v>3312.7585394581861</v>
      </c>
      <c r="W255" s="360">
        <f t="shared" si="37"/>
        <v>3262.3156654888103</v>
      </c>
      <c r="X255" s="360">
        <f t="shared" si="38"/>
        <v>3215.9905771495874</v>
      </c>
      <c r="Y255" s="360">
        <f t="shared" si="39"/>
        <v>3171.7243816254413</v>
      </c>
      <c r="Z255" s="360">
        <f t="shared" si="40"/>
        <v>3129.5170789163722</v>
      </c>
      <c r="AA255" s="443">
        <v>0.98430659871727444</v>
      </c>
    </row>
    <row r="256" spans="1:27" x14ac:dyDescent="0.2">
      <c r="A256" s="154" t="s">
        <v>274</v>
      </c>
      <c r="B256" s="354">
        <v>6646</v>
      </c>
      <c r="C256" s="354">
        <v>6538</v>
      </c>
      <c r="D256" s="354">
        <v>6419</v>
      </c>
      <c r="E256" s="354">
        <v>6377</v>
      </c>
      <c r="F256" s="331">
        <v>6302.2812060615533</v>
      </c>
      <c r="G256" s="331">
        <v>6232.5436650523361</v>
      </c>
      <c r="H256" s="331">
        <v>6161.8098734572732</v>
      </c>
      <c r="I256" s="331">
        <v>6095.0610842055939</v>
      </c>
      <c r="J256" s="337">
        <v>6029.3085455397604</v>
      </c>
      <c r="K256" s="337">
        <v>5965.5485080456192</v>
      </c>
      <c r="L256" s="337">
        <v>5904.7772223090151</v>
      </c>
      <c r="M256" s="360">
        <f t="shared" si="31"/>
        <v>5840.234612541497</v>
      </c>
      <c r="N256" s="360">
        <f t="shared" si="31"/>
        <v>5776.3974906050635</v>
      </c>
      <c r="O256" s="360">
        <f t="shared" si="32"/>
        <v>5713.2581451121268</v>
      </c>
      <c r="Q256" s="266">
        <v>783</v>
      </c>
      <c r="R256" s="266" t="s">
        <v>274</v>
      </c>
      <c r="S256" s="360">
        <f t="shared" si="33"/>
        <v>6377</v>
      </c>
      <c r="T256" s="360">
        <f t="shared" si="34"/>
        <v>6302.2812060615533</v>
      </c>
      <c r="U256" s="360">
        <f t="shared" si="35"/>
        <v>6232.5436650523361</v>
      </c>
      <c r="V256" s="360">
        <f t="shared" si="36"/>
        <v>6161.8098734572732</v>
      </c>
      <c r="W256" s="360">
        <f t="shared" si="37"/>
        <v>6095.0610842055939</v>
      </c>
      <c r="X256" s="360">
        <f t="shared" si="38"/>
        <v>6029.3085455397604</v>
      </c>
      <c r="Y256" s="360">
        <f t="shared" si="39"/>
        <v>5965.5485080456192</v>
      </c>
      <c r="Z256" s="360">
        <f t="shared" si="40"/>
        <v>5904.7772223090151</v>
      </c>
      <c r="AA256" s="443">
        <v>0.98906942508793261</v>
      </c>
    </row>
    <row r="257" spans="1:27" x14ac:dyDescent="0.2">
      <c r="A257" s="154" t="s">
        <v>275</v>
      </c>
      <c r="B257" s="354">
        <v>4628</v>
      </c>
      <c r="C257" s="354">
        <v>4652</v>
      </c>
      <c r="D257" s="354">
        <v>4559</v>
      </c>
      <c r="E257" s="354">
        <v>4625</v>
      </c>
      <c r="F257" s="331">
        <v>4590.3252480705623</v>
      </c>
      <c r="G257" s="336">
        <v>4557.6901874310915</v>
      </c>
      <c r="H257" s="337">
        <v>4524.0352811466373</v>
      </c>
      <c r="I257" s="337">
        <v>4493.4399117971334</v>
      </c>
      <c r="J257" s="337">
        <v>4461.824696802646</v>
      </c>
      <c r="K257" s="337">
        <v>4430.2094818081587</v>
      </c>
      <c r="L257" s="337">
        <v>4401.6538037486216</v>
      </c>
      <c r="M257" s="360">
        <f t="shared" si="31"/>
        <v>4370.6403338012997</v>
      </c>
      <c r="N257" s="360">
        <f t="shared" si="31"/>
        <v>4339.8453806572197</v>
      </c>
      <c r="O257" s="360">
        <f t="shared" si="32"/>
        <v>4309.2674046759166</v>
      </c>
      <c r="Q257" s="266">
        <v>831</v>
      </c>
      <c r="R257" s="266" t="s">
        <v>275</v>
      </c>
      <c r="S257" s="360">
        <f t="shared" si="33"/>
        <v>4625</v>
      </c>
      <c r="T257" s="360">
        <f t="shared" si="34"/>
        <v>4590.3252480705623</v>
      </c>
      <c r="U257" s="360">
        <f t="shared" si="35"/>
        <v>4557.6901874310915</v>
      </c>
      <c r="V257" s="360">
        <f t="shared" si="36"/>
        <v>4524.0352811466373</v>
      </c>
      <c r="W257" s="360">
        <f t="shared" si="37"/>
        <v>4493.4399117971334</v>
      </c>
      <c r="X257" s="360">
        <f t="shared" si="38"/>
        <v>4461.824696802646</v>
      </c>
      <c r="Y257" s="360">
        <f t="shared" si="39"/>
        <v>4430.2094818081587</v>
      </c>
      <c r="Z257" s="360">
        <f t="shared" si="40"/>
        <v>4401.6538037486216</v>
      </c>
      <c r="AA257" s="443">
        <v>0.99295413239430386</v>
      </c>
    </row>
    <row r="258" spans="1:27" x14ac:dyDescent="0.2">
      <c r="A258" s="154" t="s">
        <v>276</v>
      </c>
      <c r="B258" s="354">
        <v>3916</v>
      </c>
      <c r="C258" s="354">
        <v>3874</v>
      </c>
      <c r="D258" s="354">
        <v>3825</v>
      </c>
      <c r="E258" s="354">
        <v>3731</v>
      </c>
      <c r="F258" s="331">
        <v>3678.0709314775158</v>
      </c>
      <c r="G258" s="336">
        <v>3625.1418629550321</v>
      </c>
      <c r="H258" s="337">
        <v>3573.2114561027838</v>
      </c>
      <c r="I258" s="337">
        <v>3522.2797109207713</v>
      </c>
      <c r="J258" s="337">
        <v>3471.3479657387584</v>
      </c>
      <c r="K258" s="337">
        <v>3423.412205567452</v>
      </c>
      <c r="L258" s="337">
        <v>3375.4764453961457</v>
      </c>
      <c r="M258" s="360">
        <f t="shared" si="31"/>
        <v>3327.5317708534662</v>
      </c>
      <c r="N258" s="360">
        <f t="shared" si="31"/>
        <v>3280.268094046718</v>
      </c>
      <c r="O258" s="360">
        <f t="shared" si="32"/>
        <v>3233.675742203674</v>
      </c>
      <c r="Q258" s="266">
        <v>832</v>
      </c>
      <c r="R258" s="266" t="s">
        <v>276</v>
      </c>
      <c r="S258" s="360">
        <f t="shared" si="33"/>
        <v>3731</v>
      </c>
      <c r="T258" s="360">
        <f t="shared" si="34"/>
        <v>3678.0709314775158</v>
      </c>
      <c r="U258" s="360">
        <f t="shared" si="35"/>
        <v>3625.1418629550321</v>
      </c>
      <c r="V258" s="360">
        <f t="shared" si="36"/>
        <v>3573.2114561027838</v>
      </c>
      <c r="W258" s="360">
        <f t="shared" si="37"/>
        <v>3522.2797109207713</v>
      </c>
      <c r="X258" s="360">
        <f t="shared" si="38"/>
        <v>3471.3479657387584</v>
      </c>
      <c r="Y258" s="360">
        <f t="shared" si="39"/>
        <v>3423.412205567452</v>
      </c>
      <c r="Z258" s="360">
        <f t="shared" si="40"/>
        <v>3375.4764453961457</v>
      </c>
      <c r="AA258" s="443">
        <v>0.98579617564564204</v>
      </c>
    </row>
    <row r="259" spans="1:27" x14ac:dyDescent="0.2">
      <c r="A259" s="154" t="s">
        <v>277</v>
      </c>
      <c r="B259" s="354">
        <v>1659</v>
      </c>
      <c r="C259" s="354">
        <v>1668</v>
      </c>
      <c r="D259" s="354">
        <v>1691</v>
      </c>
      <c r="E259" s="354">
        <v>1705</v>
      </c>
      <c r="F259" s="331">
        <v>1708.0464562239426</v>
      </c>
      <c r="G259" s="336">
        <v>1711.0929124478855</v>
      </c>
      <c r="H259" s="337">
        <v>1714.1393686718282</v>
      </c>
      <c r="I259" s="337">
        <v>1719.2167957117331</v>
      </c>
      <c r="J259" s="337">
        <v>1721.2477665276951</v>
      </c>
      <c r="K259" s="337">
        <v>1722.263251935676</v>
      </c>
      <c r="L259" s="337">
        <v>1724.2942227516378</v>
      </c>
      <c r="M259" s="360">
        <f t="shared" si="31"/>
        <v>1727.068715672413</v>
      </c>
      <c r="N259" s="360">
        <f t="shared" si="31"/>
        <v>1729.8476729188617</v>
      </c>
      <c r="O259" s="360">
        <f t="shared" si="32"/>
        <v>1732.6311016743521</v>
      </c>
      <c r="Q259" s="266">
        <v>833</v>
      </c>
      <c r="R259" s="266" t="s">
        <v>277</v>
      </c>
      <c r="S259" s="360">
        <f t="shared" si="33"/>
        <v>1705</v>
      </c>
      <c r="T259" s="360">
        <f t="shared" si="34"/>
        <v>1708.0464562239426</v>
      </c>
      <c r="U259" s="360">
        <f t="shared" si="35"/>
        <v>1711.0929124478855</v>
      </c>
      <c r="V259" s="360">
        <f t="shared" si="36"/>
        <v>1714.1393686718282</v>
      </c>
      <c r="W259" s="360">
        <f t="shared" si="37"/>
        <v>1719.2167957117331</v>
      </c>
      <c r="X259" s="360">
        <f t="shared" si="38"/>
        <v>1721.2477665276951</v>
      </c>
      <c r="Y259" s="360">
        <f t="shared" si="39"/>
        <v>1722.263251935676</v>
      </c>
      <c r="Z259" s="360">
        <f t="shared" si="40"/>
        <v>1724.2942227516378</v>
      </c>
      <c r="AA259" s="443">
        <v>1.0016090600340513</v>
      </c>
    </row>
    <row r="260" spans="1:27" x14ac:dyDescent="0.2">
      <c r="A260" s="154" t="s">
        <v>278</v>
      </c>
      <c r="B260" s="354">
        <v>6016</v>
      </c>
      <c r="C260" s="354">
        <v>5856</v>
      </c>
      <c r="D260" s="354">
        <v>5879</v>
      </c>
      <c r="E260" s="354">
        <v>5844</v>
      </c>
      <c r="F260" s="331">
        <v>5791.0362517099866</v>
      </c>
      <c r="G260" s="336">
        <v>5740.0711354309169</v>
      </c>
      <c r="H260" s="337">
        <v>5691.104651162791</v>
      </c>
      <c r="I260" s="337">
        <v>5644.1367989056089</v>
      </c>
      <c r="J260" s="337">
        <v>5602.1655266757871</v>
      </c>
      <c r="K260" s="337">
        <v>5558.1956224350206</v>
      </c>
      <c r="L260" s="337">
        <v>5520.2216142270863</v>
      </c>
      <c r="M260" s="360">
        <f t="shared" si="31"/>
        <v>5475.4572060443716</v>
      </c>
      <c r="N260" s="360">
        <f t="shared" si="31"/>
        <v>5431.055799998162</v>
      </c>
      <c r="O260" s="360">
        <f t="shared" si="32"/>
        <v>5387.0144524429052</v>
      </c>
      <c r="Q260" s="266">
        <v>834</v>
      </c>
      <c r="R260" s="266" t="s">
        <v>278</v>
      </c>
      <c r="S260" s="360">
        <f t="shared" si="33"/>
        <v>5844</v>
      </c>
      <c r="T260" s="360">
        <f t="shared" si="34"/>
        <v>5791.0362517099866</v>
      </c>
      <c r="U260" s="360">
        <f t="shared" si="35"/>
        <v>5740.0711354309169</v>
      </c>
      <c r="V260" s="360">
        <f t="shared" si="36"/>
        <v>5691.104651162791</v>
      </c>
      <c r="W260" s="360">
        <f t="shared" si="37"/>
        <v>5644.1367989056089</v>
      </c>
      <c r="X260" s="360">
        <f t="shared" si="38"/>
        <v>5602.1655266757871</v>
      </c>
      <c r="Y260" s="360">
        <f t="shared" si="39"/>
        <v>5558.1956224350206</v>
      </c>
      <c r="Z260" s="360">
        <f t="shared" si="40"/>
        <v>5520.2216142270863</v>
      </c>
      <c r="AA260" s="443">
        <v>0.99189083132689004</v>
      </c>
    </row>
    <row r="261" spans="1:27" x14ac:dyDescent="0.2">
      <c r="A261" s="154" t="s">
        <v>279</v>
      </c>
      <c r="B261" s="354">
        <v>241009</v>
      </c>
      <c r="C261" s="354">
        <v>243298</v>
      </c>
      <c r="D261" s="354">
        <v>249009</v>
      </c>
      <c r="E261" s="354">
        <v>255050</v>
      </c>
      <c r="F261" s="331">
        <v>257982.04141728894</v>
      </c>
      <c r="G261" s="336">
        <v>260769.76745112723</v>
      </c>
      <c r="H261" s="337">
        <v>263417.24332358397</v>
      </c>
      <c r="I261" s="337">
        <v>265943.778839487</v>
      </c>
      <c r="J261" s="337">
        <v>268367.667498147</v>
      </c>
      <c r="K261" s="337">
        <v>270688.90929956397</v>
      </c>
      <c r="L261" s="337">
        <v>272880.06399477192</v>
      </c>
      <c r="M261" s="360">
        <f t="shared" si="31"/>
        <v>275527.1671008101</v>
      </c>
      <c r="N261" s="360">
        <f t="shared" si="31"/>
        <v>278199.94872198574</v>
      </c>
      <c r="O261" s="360">
        <f t="shared" si="32"/>
        <v>280898.65795556223</v>
      </c>
      <c r="Q261" s="266">
        <v>837</v>
      </c>
      <c r="R261" s="266" t="s">
        <v>279</v>
      </c>
      <c r="S261" s="360">
        <f t="shared" si="33"/>
        <v>255050</v>
      </c>
      <c r="T261" s="360">
        <f t="shared" si="34"/>
        <v>257982.04141728894</v>
      </c>
      <c r="U261" s="360">
        <f t="shared" si="35"/>
        <v>260769.76745112723</v>
      </c>
      <c r="V261" s="360">
        <f t="shared" si="36"/>
        <v>263417.24332358397</v>
      </c>
      <c r="W261" s="360">
        <f t="shared" si="37"/>
        <v>265943.778839487</v>
      </c>
      <c r="X261" s="360">
        <f t="shared" si="38"/>
        <v>268367.667498147</v>
      </c>
      <c r="Y261" s="360">
        <f t="shared" si="39"/>
        <v>270688.90929956397</v>
      </c>
      <c r="Z261" s="360">
        <f t="shared" si="40"/>
        <v>272880.06399477192</v>
      </c>
      <c r="AA261" s="443">
        <v>1.0097006101042578</v>
      </c>
    </row>
    <row r="262" spans="1:27" x14ac:dyDescent="0.2">
      <c r="A262" s="154" t="s">
        <v>280</v>
      </c>
      <c r="B262" s="354">
        <v>1503</v>
      </c>
      <c r="C262" s="354">
        <v>1516</v>
      </c>
      <c r="D262" s="354">
        <v>1441</v>
      </c>
      <c r="E262" s="354">
        <v>1412</v>
      </c>
      <c r="F262" s="331">
        <v>1399.3144436765722</v>
      </c>
      <c r="G262" s="336">
        <v>1387.6046993780235</v>
      </c>
      <c r="H262" s="337">
        <v>1377.8465791292329</v>
      </c>
      <c r="I262" s="337">
        <v>1368.0884588804422</v>
      </c>
      <c r="J262" s="337">
        <v>1357.3545266067727</v>
      </c>
      <c r="K262" s="337">
        <v>1346.6205943331031</v>
      </c>
      <c r="L262" s="337">
        <v>1334.9108500345544</v>
      </c>
      <c r="M262" s="360">
        <f t="shared" si="31"/>
        <v>1324.2475108259437</v>
      </c>
      <c r="N262" s="360">
        <f t="shared" si="31"/>
        <v>1313.6693509407874</v>
      </c>
      <c r="O262" s="360">
        <f t="shared" si="32"/>
        <v>1303.1756899620977</v>
      </c>
      <c r="Q262" s="266">
        <v>844</v>
      </c>
      <c r="R262" s="266" t="s">
        <v>280</v>
      </c>
      <c r="S262" s="360">
        <f t="shared" si="33"/>
        <v>1412</v>
      </c>
      <c r="T262" s="360">
        <f t="shared" si="34"/>
        <v>1399.3144436765722</v>
      </c>
      <c r="U262" s="360">
        <f t="shared" si="35"/>
        <v>1387.6046993780235</v>
      </c>
      <c r="V262" s="360">
        <f t="shared" si="36"/>
        <v>1377.8465791292329</v>
      </c>
      <c r="W262" s="360">
        <f t="shared" si="37"/>
        <v>1368.0884588804422</v>
      </c>
      <c r="X262" s="360">
        <f t="shared" si="38"/>
        <v>1357.3545266067727</v>
      </c>
      <c r="Y262" s="360">
        <f t="shared" si="39"/>
        <v>1346.6205943331031</v>
      </c>
      <c r="Z262" s="360">
        <f t="shared" si="40"/>
        <v>1334.9108500345544</v>
      </c>
      <c r="AA262" s="443">
        <v>0.99201194655932667</v>
      </c>
    </row>
    <row r="263" spans="1:27" x14ac:dyDescent="0.2">
      <c r="A263" s="154" t="s">
        <v>281</v>
      </c>
      <c r="B263" s="354">
        <v>2925</v>
      </c>
      <c r="C263" s="354">
        <v>2917</v>
      </c>
      <c r="D263" s="354">
        <v>2863</v>
      </c>
      <c r="E263" s="354">
        <v>2831</v>
      </c>
      <c r="F263" s="331">
        <v>2782.8781193490054</v>
      </c>
      <c r="G263" s="336">
        <v>2739.8755877034359</v>
      </c>
      <c r="H263" s="337">
        <v>2699.9446654611215</v>
      </c>
      <c r="I263" s="337">
        <v>2660.0137432188067</v>
      </c>
      <c r="J263" s="337">
        <v>2622.130560578662</v>
      </c>
      <c r="K263" s="337">
        <v>2588.3428571428572</v>
      </c>
      <c r="L263" s="337">
        <v>2554.5551537070523</v>
      </c>
      <c r="M263" s="360">
        <f t="shared" si="31"/>
        <v>2517.3333260135469</v>
      </c>
      <c r="N263" s="360">
        <f t="shared" si="31"/>
        <v>2480.6538488951833</v>
      </c>
      <c r="O263" s="360">
        <f t="shared" si="32"/>
        <v>2444.5088198881499</v>
      </c>
      <c r="Q263" s="266">
        <v>845</v>
      </c>
      <c r="R263" s="266" t="s">
        <v>281</v>
      </c>
      <c r="S263" s="360">
        <f t="shared" si="33"/>
        <v>2831</v>
      </c>
      <c r="T263" s="360">
        <f t="shared" si="34"/>
        <v>2782.8781193490054</v>
      </c>
      <c r="U263" s="360">
        <f t="shared" si="35"/>
        <v>2739.8755877034359</v>
      </c>
      <c r="V263" s="360">
        <f t="shared" si="36"/>
        <v>2699.9446654611215</v>
      </c>
      <c r="W263" s="360">
        <f t="shared" si="37"/>
        <v>2660.0137432188067</v>
      </c>
      <c r="X263" s="360">
        <f t="shared" si="38"/>
        <v>2622.130560578662</v>
      </c>
      <c r="Y263" s="360">
        <f t="shared" si="39"/>
        <v>2588.3428571428572</v>
      </c>
      <c r="Z263" s="360">
        <f t="shared" si="40"/>
        <v>2554.5551537070523</v>
      </c>
      <c r="AA263" s="443">
        <v>0.98542923309387509</v>
      </c>
    </row>
    <row r="264" spans="1:27" x14ac:dyDescent="0.2">
      <c r="A264" s="154" t="s">
        <v>282</v>
      </c>
      <c r="B264" s="354">
        <v>4994</v>
      </c>
      <c r="C264" s="354">
        <v>4858</v>
      </c>
      <c r="D264" s="354">
        <v>4862</v>
      </c>
      <c r="E264" s="354">
        <v>4758</v>
      </c>
      <c r="F264" s="331">
        <v>4677.2190152801359</v>
      </c>
      <c r="G264" s="336">
        <v>4598.4575551782682</v>
      </c>
      <c r="H264" s="337">
        <v>4522.7253820033957</v>
      </c>
      <c r="I264" s="337">
        <v>4450.0224957555174</v>
      </c>
      <c r="J264" s="337">
        <v>4376.3098471986414</v>
      </c>
      <c r="K264" s="337">
        <v>4307.6460101867569</v>
      </c>
      <c r="L264" s="337">
        <v>4241.001697792869</v>
      </c>
      <c r="M264" s="360">
        <f t="shared" si="31"/>
        <v>4171.881258682527</v>
      </c>
      <c r="N264" s="360">
        <f t="shared" si="31"/>
        <v>4103.8873541607691</v>
      </c>
      <c r="O264" s="360">
        <f t="shared" si="32"/>
        <v>4037.0016238092353</v>
      </c>
      <c r="Q264" s="266">
        <v>846</v>
      </c>
      <c r="R264" s="266" t="s">
        <v>282</v>
      </c>
      <c r="S264" s="360">
        <f t="shared" si="33"/>
        <v>4758</v>
      </c>
      <c r="T264" s="360">
        <f t="shared" si="34"/>
        <v>4677.2190152801359</v>
      </c>
      <c r="U264" s="360">
        <f t="shared" si="35"/>
        <v>4598.4575551782682</v>
      </c>
      <c r="V264" s="360">
        <f t="shared" si="36"/>
        <v>4522.7253820033957</v>
      </c>
      <c r="W264" s="360">
        <f t="shared" si="37"/>
        <v>4450.0224957555174</v>
      </c>
      <c r="X264" s="360">
        <f t="shared" si="38"/>
        <v>4376.3098471986414</v>
      </c>
      <c r="Y264" s="360">
        <f t="shared" si="39"/>
        <v>4307.6460101867569</v>
      </c>
      <c r="Z264" s="360">
        <f t="shared" si="40"/>
        <v>4241.001697792869</v>
      </c>
      <c r="AA264" s="443">
        <v>0.98370186007086158</v>
      </c>
    </row>
    <row r="265" spans="1:27" x14ac:dyDescent="0.2">
      <c r="A265" s="154" t="s">
        <v>283</v>
      </c>
      <c r="B265" s="354">
        <v>4307</v>
      </c>
      <c r="C265" s="354">
        <v>4265</v>
      </c>
      <c r="D265" s="354">
        <v>4160</v>
      </c>
      <c r="E265" s="354">
        <v>4066</v>
      </c>
      <c r="F265" s="331">
        <v>3999.9675196850394</v>
      </c>
      <c r="G265" s="336">
        <v>3940.9384842519685</v>
      </c>
      <c r="H265" s="337">
        <v>3884.9109251968507</v>
      </c>
      <c r="I265" s="337">
        <v>3830.884350393701</v>
      </c>
      <c r="J265" s="337">
        <v>3778.8587598425197</v>
      </c>
      <c r="K265" s="337">
        <v>3727.8336614173227</v>
      </c>
      <c r="L265" s="337">
        <v>3677.8090551181103</v>
      </c>
      <c r="M265" s="360">
        <f t="shared" ref="M265:N301" si="41">L265*$AA265</f>
        <v>3625.4666441328936</v>
      </c>
      <c r="N265" s="360">
        <f t="shared" si="41"/>
        <v>3573.869167957148</v>
      </c>
      <c r="O265" s="360">
        <f t="shared" ref="O265:O301" si="42">N265*$AA265</f>
        <v>3523.0060247125894</v>
      </c>
      <c r="Q265" s="266">
        <v>848</v>
      </c>
      <c r="R265" s="266" t="s">
        <v>283</v>
      </c>
      <c r="S265" s="360">
        <f t="shared" ref="S265:S301" si="43">E265</f>
        <v>4066</v>
      </c>
      <c r="T265" s="360">
        <f t="shared" ref="T265:T301" si="44">F265</f>
        <v>3999.9675196850394</v>
      </c>
      <c r="U265" s="360">
        <f t="shared" ref="U265:U301" si="45">G265</f>
        <v>3940.9384842519685</v>
      </c>
      <c r="V265" s="360">
        <f t="shared" ref="V265:V301" si="46">H265</f>
        <v>3884.9109251968507</v>
      </c>
      <c r="W265" s="360">
        <f t="shared" ref="W265:W301" si="47">I265</f>
        <v>3830.884350393701</v>
      </c>
      <c r="X265" s="360">
        <f t="shared" ref="X265:X301" si="48">J265</f>
        <v>3778.8587598425197</v>
      </c>
      <c r="Y265" s="360">
        <f t="shared" ref="Y265:Y301" si="49">K265</f>
        <v>3727.8336614173227</v>
      </c>
      <c r="Z265" s="360">
        <f t="shared" ref="Z265:Z301" si="50">L265</f>
        <v>3677.8090551181103</v>
      </c>
      <c r="AA265" s="443">
        <v>0.98576804553994557</v>
      </c>
    </row>
    <row r="266" spans="1:27" x14ac:dyDescent="0.2">
      <c r="A266" s="154" t="s">
        <v>284</v>
      </c>
      <c r="B266" s="354">
        <v>2966</v>
      </c>
      <c r="C266" s="354">
        <v>2955</v>
      </c>
      <c r="D266" s="354">
        <v>2903</v>
      </c>
      <c r="E266" s="354">
        <v>2849</v>
      </c>
      <c r="F266" s="331">
        <v>2783.0079623597539</v>
      </c>
      <c r="G266" s="336">
        <v>2719.0781758957655</v>
      </c>
      <c r="H266" s="337">
        <v>2659.2728917842924</v>
      </c>
      <c r="I266" s="337">
        <v>2602.5609844372061</v>
      </c>
      <c r="J266" s="337">
        <v>2547.9113282663775</v>
      </c>
      <c r="K266" s="337">
        <v>2496.3550488599353</v>
      </c>
      <c r="L266" s="337">
        <v>2444.7987694534927</v>
      </c>
      <c r="M266" s="360">
        <f t="shared" si="41"/>
        <v>2391.9417847112163</v>
      </c>
      <c r="N266" s="360">
        <f t="shared" si="41"/>
        <v>2340.2275773913411</v>
      </c>
      <c r="O266" s="360">
        <f t="shared" si="42"/>
        <v>2289.6314404424998</v>
      </c>
      <c r="Q266" s="266">
        <v>849</v>
      </c>
      <c r="R266" s="266" t="s">
        <v>284</v>
      </c>
      <c r="S266" s="360">
        <f t="shared" si="43"/>
        <v>2849</v>
      </c>
      <c r="T266" s="360">
        <f t="shared" si="44"/>
        <v>2783.0079623597539</v>
      </c>
      <c r="U266" s="360">
        <f t="shared" si="45"/>
        <v>2719.0781758957655</v>
      </c>
      <c r="V266" s="360">
        <f t="shared" si="46"/>
        <v>2659.2728917842924</v>
      </c>
      <c r="W266" s="360">
        <f t="shared" si="47"/>
        <v>2602.5609844372061</v>
      </c>
      <c r="X266" s="360">
        <f t="shared" si="48"/>
        <v>2547.9113282663775</v>
      </c>
      <c r="Y266" s="360">
        <f t="shared" si="49"/>
        <v>2496.3550488599353</v>
      </c>
      <c r="Z266" s="360">
        <f t="shared" si="50"/>
        <v>2444.7987694534927</v>
      </c>
      <c r="AA266" s="443">
        <v>0.97837982192943762</v>
      </c>
    </row>
    <row r="267" spans="1:27" x14ac:dyDescent="0.2">
      <c r="A267" s="154" t="s">
        <v>285</v>
      </c>
      <c r="B267" s="354">
        <v>2401</v>
      </c>
      <c r="C267" s="354">
        <v>2387</v>
      </c>
      <c r="D267" s="354">
        <v>2407</v>
      </c>
      <c r="E267" s="354">
        <v>2368</v>
      </c>
      <c r="F267" s="331">
        <v>2364.0434419381786</v>
      </c>
      <c r="G267" s="336">
        <v>2357.1194653299913</v>
      </c>
      <c r="H267" s="337">
        <v>2351.1846282372594</v>
      </c>
      <c r="I267" s="337">
        <v>2342.2823725981616</v>
      </c>
      <c r="J267" s="337">
        <v>2329.4235588972424</v>
      </c>
      <c r="K267" s="337">
        <v>2314.5864661654127</v>
      </c>
      <c r="L267" s="337">
        <v>2299.7493734335831</v>
      </c>
      <c r="M267" s="360">
        <f t="shared" si="41"/>
        <v>2290.1648781542076</v>
      </c>
      <c r="N267" s="360">
        <f t="shared" si="41"/>
        <v>2280.6203274665436</v>
      </c>
      <c r="O267" s="360">
        <f t="shared" si="42"/>
        <v>2271.1155548964721</v>
      </c>
      <c r="Q267" s="266">
        <v>850</v>
      </c>
      <c r="R267" s="266" t="s">
        <v>285</v>
      </c>
      <c r="S267" s="360">
        <f t="shared" si="43"/>
        <v>2368</v>
      </c>
      <c r="T267" s="360">
        <f t="shared" si="44"/>
        <v>2364.0434419381786</v>
      </c>
      <c r="U267" s="360">
        <f t="shared" si="45"/>
        <v>2357.1194653299913</v>
      </c>
      <c r="V267" s="360">
        <f t="shared" si="46"/>
        <v>2351.1846282372594</v>
      </c>
      <c r="W267" s="360">
        <f t="shared" si="47"/>
        <v>2342.2823725981616</v>
      </c>
      <c r="X267" s="360">
        <f t="shared" si="48"/>
        <v>2329.4235588972424</v>
      </c>
      <c r="Y267" s="360">
        <f t="shared" si="49"/>
        <v>2314.5864661654127</v>
      </c>
      <c r="Z267" s="360">
        <f t="shared" si="50"/>
        <v>2299.7493734335831</v>
      </c>
      <c r="AA267" s="443">
        <v>0.99583237400123059</v>
      </c>
    </row>
    <row r="268" spans="1:27" x14ac:dyDescent="0.2">
      <c r="A268" s="154" t="s">
        <v>286</v>
      </c>
      <c r="B268" s="354">
        <v>21467</v>
      </c>
      <c r="C268" s="354">
        <v>21461</v>
      </c>
      <c r="D268" s="354">
        <v>21227</v>
      </c>
      <c r="E268" s="354">
        <v>21018</v>
      </c>
      <c r="F268" s="331">
        <v>20873.103408928826</v>
      </c>
      <c r="G268" s="336">
        <v>20733.203252032519</v>
      </c>
      <c r="H268" s="337">
        <v>20597.300242476107</v>
      </c>
      <c r="I268" s="337">
        <v>20461.397232919695</v>
      </c>
      <c r="J268" s="337">
        <v>20325.494223363283</v>
      </c>
      <c r="K268" s="337">
        <v>20188.591926971898</v>
      </c>
      <c r="L268" s="337">
        <v>20051.689630580513</v>
      </c>
      <c r="M268" s="360">
        <f t="shared" si="41"/>
        <v>19917.320742639404</v>
      </c>
      <c r="N268" s="360">
        <f t="shared" si="41"/>
        <v>19783.852277474587</v>
      </c>
      <c r="O268" s="360">
        <f t="shared" si="42"/>
        <v>19651.278201240071</v>
      </c>
      <c r="Q268" s="266">
        <v>851</v>
      </c>
      <c r="R268" s="266" t="s">
        <v>286</v>
      </c>
      <c r="S268" s="360">
        <f t="shared" si="43"/>
        <v>21018</v>
      </c>
      <c r="T268" s="360">
        <f t="shared" si="44"/>
        <v>20873.103408928826</v>
      </c>
      <c r="U268" s="360">
        <f t="shared" si="45"/>
        <v>20733.203252032519</v>
      </c>
      <c r="V268" s="360">
        <f t="shared" si="46"/>
        <v>20597.300242476107</v>
      </c>
      <c r="W268" s="360">
        <f t="shared" si="47"/>
        <v>20461.397232919695</v>
      </c>
      <c r="X268" s="360">
        <f t="shared" si="48"/>
        <v>20325.494223363283</v>
      </c>
      <c r="Y268" s="360">
        <f t="shared" si="49"/>
        <v>20188.591926971898</v>
      </c>
      <c r="Z268" s="360">
        <f t="shared" si="50"/>
        <v>20051.689630580513</v>
      </c>
      <c r="AA268" s="443">
        <v>0.99329887453792498</v>
      </c>
    </row>
    <row r="269" spans="1:27" x14ac:dyDescent="0.2">
      <c r="A269" s="154" t="s">
        <v>287</v>
      </c>
      <c r="B269" s="354">
        <v>194391</v>
      </c>
      <c r="C269" s="354">
        <v>195986</v>
      </c>
      <c r="D269" s="354">
        <v>197900</v>
      </c>
      <c r="E269" s="354">
        <v>201863</v>
      </c>
      <c r="F269" s="331">
        <v>203137.56714998692</v>
      </c>
      <c r="G269" s="336">
        <v>204381.66655933671</v>
      </c>
      <c r="H269" s="337">
        <v>205596.31381940393</v>
      </c>
      <c r="I269" s="337">
        <v>206779.47774747942</v>
      </c>
      <c r="J269" s="337">
        <v>207935.22070898151</v>
      </c>
      <c r="K269" s="337">
        <v>209062.5271125556</v>
      </c>
      <c r="L269" s="337">
        <v>210134.99158298282</v>
      </c>
      <c r="M269" s="360">
        <f t="shared" si="41"/>
        <v>211344.07300384625</v>
      </c>
      <c r="N269" s="360">
        <f t="shared" si="41"/>
        <v>212560.11127597591</v>
      </c>
      <c r="O269" s="360">
        <f t="shared" si="42"/>
        <v>213783.14642792466</v>
      </c>
      <c r="Q269" s="266">
        <v>853</v>
      </c>
      <c r="R269" s="266" t="s">
        <v>287</v>
      </c>
      <c r="S269" s="360">
        <f t="shared" si="43"/>
        <v>201863</v>
      </c>
      <c r="T269" s="360">
        <f t="shared" si="44"/>
        <v>203137.56714998692</v>
      </c>
      <c r="U269" s="360">
        <f t="shared" si="45"/>
        <v>204381.66655933671</v>
      </c>
      <c r="V269" s="360">
        <f t="shared" si="46"/>
        <v>205596.31381940393</v>
      </c>
      <c r="W269" s="360">
        <f t="shared" si="47"/>
        <v>206779.47774747942</v>
      </c>
      <c r="X269" s="360">
        <f t="shared" si="48"/>
        <v>207935.22070898151</v>
      </c>
      <c r="Y269" s="360">
        <f t="shared" si="49"/>
        <v>209062.5271125556</v>
      </c>
      <c r="Z269" s="360">
        <f t="shared" si="50"/>
        <v>210134.99158298282</v>
      </c>
      <c r="AA269" s="443">
        <v>1.0057538319142147</v>
      </c>
    </row>
    <row r="270" spans="1:27" x14ac:dyDescent="0.2">
      <c r="A270" s="154" t="s">
        <v>288</v>
      </c>
      <c r="B270" s="354">
        <v>2433</v>
      </c>
      <c r="C270" s="354">
        <v>2401</v>
      </c>
      <c r="D270" s="354">
        <v>2394</v>
      </c>
      <c r="E270" s="354">
        <v>2313</v>
      </c>
      <c r="F270" s="331">
        <v>2273.4875164257555</v>
      </c>
      <c r="G270" s="336">
        <v>2236.0013140604469</v>
      </c>
      <c r="H270" s="337">
        <v>2202.5676741130092</v>
      </c>
      <c r="I270" s="337">
        <v>2170.1471747700393</v>
      </c>
      <c r="J270" s="337">
        <v>2140.7660972404733</v>
      </c>
      <c r="K270" s="337">
        <v>2111.3850197109068</v>
      </c>
      <c r="L270" s="337">
        <v>2085.0433639947437</v>
      </c>
      <c r="M270" s="360">
        <f t="shared" si="41"/>
        <v>2054.3686964770081</v>
      </c>
      <c r="N270" s="360">
        <f t="shared" si="41"/>
        <v>2024.1453074523592</v>
      </c>
      <c r="O270" s="360">
        <f t="shared" si="42"/>
        <v>1994.3665578177583</v>
      </c>
      <c r="Q270" s="266">
        <v>857</v>
      </c>
      <c r="R270" s="266" t="s">
        <v>288</v>
      </c>
      <c r="S270" s="360">
        <f t="shared" si="43"/>
        <v>2313</v>
      </c>
      <c r="T270" s="360">
        <f t="shared" si="44"/>
        <v>2273.4875164257555</v>
      </c>
      <c r="U270" s="360">
        <f t="shared" si="45"/>
        <v>2236.0013140604469</v>
      </c>
      <c r="V270" s="360">
        <f t="shared" si="46"/>
        <v>2202.5676741130092</v>
      </c>
      <c r="W270" s="360">
        <f t="shared" si="47"/>
        <v>2170.1471747700393</v>
      </c>
      <c r="X270" s="360">
        <f t="shared" si="48"/>
        <v>2140.7660972404733</v>
      </c>
      <c r="Y270" s="360">
        <f t="shared" si="49"/>
        <v>2111.3850197109068</v>
      </c>
      <c r="Z270" s="360">
        <f t="shared" si="50"/>
        <v>2085.0433639947437</v>
      </c>
      <c r="AA270" s="443">
        <v>0.98528823522453479</v>
      </c>
    </row>
    <row r="271" spans="1:27" x14ac:dyDescent="0.2">
      <c r="A271" s="154" t="s">
        <v>289</v>
      </c>
      <c r="B271" s="354">
        <v>38783</v>
      </c>
      <c r="C271" s="354">
        <v>38751</v>
      </c>
      <c r="D271" s="354">
        <v>40384</v>
      </c>
      <c r="E271" s="354">
        <v>41338</v>
      </c>
      <c r="F271" s="331">
        <v>41447.815116605794</v>
      </c>
      <c r="G271" s="336">
        <v>41559.742062377081</v>
      </c>
      <c r="H271" s="337">
        <v>41671.669008148368</v>
      </c>
      <c r="I271" s="337">
        <v>41782.540039336898</v>
      </c>
      <c r="J271" s="337">
        <v>41883.907839280699</v>
      </c>
      <c r="K271" s="337">
        <v>41982.107895476256</v>
      </c>
      <c r="L271" s="337">
        <v>42082.419780837314</v>
      </c>
      <c r="M271" s="360">
        <f t="shared" si="41"/>
        <v>42189.854664494444</v>
      </c>
      <c r="N271" s="360">
        <f t="shared" si="41"/>
        <v>42297.563825493191</v>
      </c>
      <c r="O271" s="360">
        <f t="shared" si="42"/>
        <v>42405.547964053614</v>
      </c>
      <c r="Q271" s="266">
        <v>858</v>
      </c>
      <c r="R271" s="266" t="s">
        <v>289</v>
      </c>
      <c r="S271" s="360">
        <f t="shared" si="43"/>
        <v>41338</v>
      </c>
      <c r="T271" s="360">
        <f t="shared" si="44"/>
        <v>41447.815116605794</v>
      </c>
      <c r="U271" s="360">
        <f t="shared" si="45"/>
        <v>41559.742062377081</v>
      </c>
      <c r="V271" s="360">
        <f t="shared" si="46"/>
        <v>41671.669008148368</v>
      </c>
      <c r="W271" s="360">
        <f t="shared" si="47"/>
        <v>41782.540039336898</v>
      </c>
      <c r="X271" s="360">
        <f t="shared" si="48"/>
        <v>41883.907839280699</v>
      </c>
      <c r="Y271" s="360">
        <f t="shared" si="49"/>
        <v>41982.107895476256</v>
      </c>
      <c r="Z271" s="360">
        <f t="shared" si="50"/>
        <v>42082.419780837314</v>
      </c>
      <c r="AA271" s="443">
        <v>1.0025529635466934</v>
      </c>
    </row>
    <row r="272" spans="1:27" x14ac:dyDescent="0.2">
      <c r="A272" s="154" t="s">
        <v>290</v>
      </c>
      <c r="B272" s="354">
        <v>6603</v>
      </c>
      <c r="C272" s="354">
        <v>6814</v>
      </c>
      <c r="D272" s="354">
        <v>6562</v>
      </c>
      <c r="E272" s="354">
        <v>6525</v>
      </c>
      <c r="F272" s="331">
        <v>6486.9182921210258</v>
      </c>
      <c r="G272" s="336">
        <v>6443.8258332053447</v>
      </c>
      <c r="H272" s="337">
        <v>6396.7247734602979</v>
      </c>
      <c r="I272" s="337">
        <v>6350.6258639225925</v>
      </c>
      <c r="J272" s="337">
        <v>6301.520503762863</v>
      </c>
      <c r="K272" s="337">
        <v>6255.4215942251576</v>
      </c>
      <c r="L272" s="337">
        <v>6215.3355859315006</v>
      </c>
      <c r="M272" s="360">
        <f t="shared" si="41"/>
        <v>6172.3152753022514</v>
      </c>
      <c r="N272" s="360">
        <f t="shared" si="41"/>
        <v>6129.59273574281</v>
      </c>
      <c r="O272" s="360">
        <f t="shared" si="42"/>
        <v>6087.1659061892578</v>
      </c>
      <c r="Q272" s="266">
        <v>859</v>
      </c>
      <c r="R272" s="266" t="s">
        <v>290</v>
      </c>
      <c r="S272" s="360">
        <f t="shared" si="43"/>
        <v>6525</v>
      </c>
      <c r="T272" s="360">
        <f t="shared" si="44"/>
        <v>6486.9182921210258</v>
      </c>
      <c r="U272" s="360">
        <f t="shared" si="45"/>
        <v>6443.8258332053447</v>
      </c>
      <c r="V272" s="360">
        <f t="shared" si="46"/>
        <v>6396.7247734602979</v>
      </c>
      <c r="W272" s="360">
        <f t="shared" si="47"/>
        <v>6350.6258639225925</v>
      </c>
      <c r="X272" s="360">
        <f t="shared" si="48"/>
        <v>6301.520503762863</v>
      </c>
      <c r="Y272" s="360">
        <f t="shared" si="49"/>
        <v>6255.4215942251576</v>
      </c>
      <c r="Z272" s="360">
        <f t="shared" si="50"/>
        <v>6215.3355859315006</v>
      </c>
      <c r="AA272" s="443">
        <v>0.99307836076838296</v>
      </c>
    </row>
    <row r="273" spans="1:27" x14ac:dyDescent="0.2">
      <c r="A273" s="154" t="s">
        <v>291</v>
      </c>
      <c r="B273" s="354">
        <v>12735</v>
      </c>
      <c r="C273" s="354">
        <v>12858</v>
      </c>
      <c r="D273" s="354">
        <v>12599</v>
      </c>
      <c r="E273" s="354">
        <v>12533</v>
      </c>
      <c r="F273" s="331">
        <v>12419.762181348822</v>
      </c>
      <c r="G273" s="336">
        <v>12301.469102936431</v>
      </c>
      <c r="H273" s="337">
        <v>12181.153920619554</v>
      </c>
      <c r="I273" s="337">
        <v>12058.816634398192</v>
      </c>
      <c r="J273" s="337">
        <v>11931.424088415617</v>
      </c>
      <c r="K273" s="337">
        <v>11803.0204904808</v>
      </c>
      <c r="L273" s="337">
        <v>11678.661100354951</v>
      </c>
      <c r="M273" s="360">
        <f t="shared" si="41"/>
        <v>11561.464447763328</v>
      </c>
      <c r="N273" s="360">
        <f t="shared" si="41"/>
        <v>11445.443876510195</v>
      </c>
      <c r="O273" s="360">
        <f t="shared" si="42"/>
        <v>11330.587584489569</v>
      </c>
      <c r="Q273" s="266">
        <v>886</v>
      </c>
      <c r="R273" s="266" t="s">
        <v>291</v>
      </c>
      <c r="S273" s="360">
        <f t="shared" si="43"/>
        <v>12533</v>
      </c>
      <c r="T273" s="360">
        <f t="shared" si="44"/>
        <v>12419.762181348822</v>
      </c>
      <c r="U273" s="360">
        <f t="shared" si="45"/>
        <v>12301.469102936431</v>
      </c>
      <c r="V273" s="360">
        <f t="shared" si="46"/>
        <v>12181.153920619554</v>
      </c>
      <c r="W273" s="360">
        <f t="shared" si="47"/>
        <v>12058.816634398192</v>
      </c>
      <c r="X273" s="360">
        <f t="shared" si="48"/>
        <v>11931.424088415617</v>
      </c>
      <c r="Y273" s="360">
        <f t="shared" si="49"/>
        <v>11803.0204904808</v>
      </c>
      <c r="Z273" s="360">
        <f t="shared" si="50"/>
        <v>11678.661100354951</v>
      </c>
      <c r="AA273" s="443">
        <v>0.98996488967489082</v>
      </c>
    </row>
    <row r="274" spans="1:27" x14ac:dyDescent="0.2">
      <c r="A274" s="154" t="s">
        <v>292</v>
      </c>
      <c r="B274" s="354">
        <v>4644</v>
      </c>
      <c r="C274" s="354">
        <v>4618</v>
      </c>
      <c r="D274" s="354">
        <v>4569</v>
      </c>
      <c r="E274" s="354">
        <v>4568</v>
      </c>
      <c r="F274" s="331">
        <v>4520.1302118171679</v>
      </c>
      <c r="G274" s="336">
        <v>4471.2419175027871</v>
      </c>
      <c r="H274" s="337">
        <v>4426.4276477146041</v>
      </c>
      <c r="I274" s="337">
        <v>4385.6874024526196</v>
      </c>
      <c r="J274" s="337">
        <v>4344.9471571906352</v>
      </c>
      <c r="K274" s="337">
        <v>4309.299442586399</v>
      </c>
      <c r="L274" s="337">
        <v>4272.6332218506132</v>
      </c>
      <c r="M274" s="360">
        <f t="shared" si="41"/>
        <v>4232.0284958580423</v>
      </c>
      <c r="N274" s="360">
        <f t="shared" si="41"/>
        <v>4191.8096545617054</v>
      </c>
      <c r="O274" s="360">
        <f t="shared" si="42"/>
        <v>4151.9730307284126</v>
      </c>
      <c r="Q274" s="266">
        <v>887</v>
      </c>
      <c r="R274" s="266" t="s">
        <v>292</v>
      </c>
      <c r="S274" s="360">
        <f t="shared" si="43"/>
        <v>4568</v>
      </c>
      <c r="T274" s="360">
        <f t="shared" si="44"/>
        <v>4520.1302118171679</v>
      </c>
      <c r="U274" s="360">
        <f t="shared" si="45"/>
        <v>4471.2419175027871</v>
      </c>
      <c r="V274" s="360">
        <f t="shared" si="46"/>
        <v>4426.4276477146041</v>
      </c>
      <c r="W274" s="360">
        <f t="shared" si="47"/>
        <v>4385.6874024526196</v>
      </c>
      <c r="X274" s="360">
        <f t="shared" si="48"/>
        <v>4344.9471571906352</v>
      </c>
      <c r="Y274" s="360">
        <f t="shared" si="49"/>
        <v>4309.299442586399</v>
      </c>
      <c r="Z274" s="360">
        <f t="shared" si="50"/>
        <v>4272.6332218506132</v>
      </c>
      <c r="AA274" s="443">
        <v>0.99049655706815298</v>
      </c>
    </row>
    <row r="275" spans="1:27" x14ac:dyDescent="0.2">
      <c r="A275" s="154" t="s">
        <v>293</v>
      </c>
      <c r="B275" s="354">
        <v>2619</v>
      </c>
      <c r="C275" s="354">
        <v>2556</v>
      </c>
      <c r="D275" s="354">
        <v>2523</v>
      </c>
      <c r="E275" s="354">
        <v>2491</v>
      </c>
      <c r="F275" s="331">
        <v>2450.7088556409217</v>
      </c>
      <c r="G275" s="336">
        <v>2414.4468257177514</v>
      </c>
      <c r="H275" s="337">
        <v>2380.1993530125351</v>
      </c>
      <c r="I275" s="337">
        <v>2348.9737161342496</v>
      </c>
      <c r="J275" s="337">
        <v>2320.7699150828948</v>
      </c>
      <c r="K275" s="337">
        <v>2296.5952284674481</v>
      </c>
      <c r="L275" s="337">
        <v>2268.3914274160934</v>
      </c>
      <c r="M275" s="360">
        <f t="shared" si="41"/>
        <v>2238.2611043431866</v>
      </c>
      <c r="N275" s="360">
        <f t="shared" si="41"/>
        <v>2208.5309927847061</v>
      </c>
      <c r="O275" s="360">
        <f t="shared" si="42"/>
        <v>2179.1957768581806</v>
      </c>
      <c r="Q275" s="266">
        <v>889</v>
      </c>
      <c r="R275" s="266" t="s">
        <v>293</v>
      </c>
      <c r="S275" s="360">
        <f t="shared" si="43"/>
        <v>2491</v>
      </c>
      <c r="T275" s="360">
        <f t="shared" si="44"/>
        <v>2450.7088556409217</v>
      </c>
      <c r="U275" s="360">
        <f t="shared" si="45"/>
        <v>2414.4468257177514</v>
      </c>
      <c r="V275" s="360">
        <f t="shared" si="46"/>
        <v>2380.1993530125351</v>
      </c>
      <c r="W275" s="360">
        <f t="shared" si="47"/>
        <v>2348.9737161342496</v>
      </c>
      <c r="X275" s="360">
        <f t="shared" si="48"/>
        <v>2320.7699150828948</v>
      </c>
      <c r="Y275" s="360">
        <f t="shared" si="49"/>
        <v>2296.5952284674481</v>
      </c>
      <c r="Z275" s="360">
        <f t="shared" si="50"/>
        <v>2268.3914274160934</v>
      </c>
      <c r="AA275" s="443">
        <v>0.9867173175190368</v>
      </c>
    </row>
    <row r="276" spans="1:27" x14ac:dyDescent="0.2">
      <c r="A276" s="154" t="s">
        <v>294</v>
      </c>
      <c r="B276" s="354">
        <v>1219</v>
      </c>
      <c r="C276" s="354">
        <v>1218</v>
      </c>
      <c r="D276" s="354">
        <v>1180</v>
      </c>
      <c r="E276" s="354">
        <v>1139</v>
      </c>
      <c r="F276" s="331">
        <v>1136.1548709408826</v>
      </c>
      <c r="G276" s="336">
        <v>1133.3097418817651</v>
      </c>
      <c r="H276" s="337">
        <v>1131.4129891756868</v>
      </c>
      <c r="I276" s="337">
        <v>1130.4646128226477</v>
      </c>
      <c r="J276" s="337">
        <v>1130.4646128226477</v>
      </c>
      <c r="K276" s="337">
        <v>1129.5162364696087</v>
      </c>
      <c r="L276" s="337">
        <v>1130.4646128226477</v>
      </c>
      <c r="M276" s="360">
        <f t="shared" si="41"/>
        <v>1129.2512608050067</v>
      </c>
      <c r="N276" s="360">
        <f t="shared" si="41"/>
        <v>1128.0392111042202</v>
      </c>
      <c r="O276" s="360">
        <f t="shared" si="42"/>
        <v>1126.8284623224833</v>
      </c>
      <c r="Q276" s="266">
        <v>890</v>
      </c>
      <c r="R276" s="266" t="s">
        <v>294</v>
      </c>
      <c r="S276" s="360">
        <f t="shared" si="43"/>
        <v>1139</v>
      </c>
      <c r="T276" s="360">
        <f t="shared" si="44"/>
        <v>1136.1548709408826</v>
      </c>
      <c r="U276" s="360">
        <f t="shared" si="45"/>
        <v>1133.3097418817651</v>
      </c>
      <c r="V276" s="360">
        <f t="shared" si="46"/>
        <v>1131.4129891756868</v>
      </c>
      <c r="W276" s="360">
        <f t="shared" si="47"/>
        <v>1130.4646128226477</v>
      </c>
      <c r="X276" s="360">
        <f t="shared" si="48"/>
        <v>1130.4646128226477</v>
      </c>
      <c r="Y276" s="360">
        <f t="shared" si="49"/>
        <v>1129.5162364696087</v>
      </c>
      <c r="Z276" s="360">
        <f t="shared" si="50"/>
        <v>1130.4646128226477</v>
      </c>
      <c r="AA276" s="443">
        <v>0.99892667846133509</v>
      </c>
    </row>
    <row r="277" spans="1:27" x14ac:dyDescent="0.2">
      <c r="A277" s="154" t="s">
        <v>295</v>
      </c>
      <c r="B277" s="354">
        <v>3646</v>
      </c>
      <c r="C277" s="354">
        <v>3901</v>
      </c>
      <c r="D277" s="354">
        <v>3592</v>
      </c>
      <c r="E277" s="354">
        <v>3615</v>
      </c>
      <c r="F277" s="331">
        <v>3612.0409276944065</v>
      </c>
      <c r="G277" s="336">
        <v>3605.1364256480215</v>
      </c>
      <c r="H277" s="337">
        <v>3591.3274215552519</v>
      </c>
      <c r="I277" s="337">
        <v>3575.5457025920869</v>
      </c>
      <c r="J277" s="337">
        <v>3554.8321964529327</v>
      </c>
      <c r="K277" s="337">
        <v>3535.1050477489766</v>
      </c>
      <c r="L277" s="337">
        <v>3515.3778990450205</v>
      </c>
      <c r="M277" s="360">
        <f t="shared" si="41"/>
        <v>3501.3778089829125</v>
      </c>
      <c r="N277" s="360">
        <f t="shared" si="41"/>
        <v>3487.4334746680888</v>
      </c>
      <c r="O277" s="360">
        <f t="shared" si="42"/>
        <v>3473.5446740517377</v>
      </c>
      <c r="Q277" s="266">
        <v>892</v>
      </c>
      <c r="R277" s="266" t="s">
        <v>295</v>
      </c>
      <c r="S277" s="360">
        <f t="shared" si="43"/>
        <v>3615</v>
      </c>
      <c r="T277" s="360">
        <f t="shared" si="44"/>
        <v>3612.0409276944065</v>
      </c>
      <c r="U277" s="360">
        <f t="shared" si="45"/>
        <v>3605.1364256480215</v>
      </c>
      <c r="V277" s="360">
        <f t="shared" si="46"/>
        <v>3591.3274215552519</v>
      </c>
      <c r="W277" s="360">
        <f t="shared" si="47"/>
        <v>3575.5457025920869</v>
      </c>
      <c r="X277" s="360">
        <f t="shared" si="48"/>
        <v>3554.8321964529327</v>
      </c>
      <c r="Y277" s="360">
        <f t="shared" si="49"/>
        <v>3535.1050477489766</v>
      </c>
      <c r="Z277" s="360">
        <f t="shared" si="50"/>
        <v>3515.3778990450205</v>
      </c>
      <c r="AA277" s="443">
        <v>0.99601747224219872</v>
      </c>
    </row>
    <row r="278" spans="1:27" x14ac:dyDescent="0.2">
      <c r="A278" s="154" t="s">
        <v>296</v>
      </c>
      <c r="B278" s="354">
        <v>7479</v>
      </c>
      <c r="C278" s="354">
        <v>7397</v>
      </c>
      <c r="D278" s="354">
        <v>7434</v>
      </c>
      <c r="E278" s="354">
        <v>7500</v>
      </c>
      <c r="F278" s="331">
        <v>7487.9129734085418</v>
      </c>
      <c r="G278" s="336">
        <v>7471.7969379532633</v>
      </c>
      <c r="H278" s="337">
        <v>7448.6301369863013</v>
      </c>
      <c r="I278" s="337">
        <v>7423.4488315874287</v>
      </c>
      <c r="J278" s="337">
        <v>7391.2167606768726</v>
      </c>
      <c r="K278" s="337">
        <v>7362.0064464141815</v>
      </c>
      <c r="L278" s="337">
        <v>7332.7961321514904</v>
      </c>
      <c r="M278" s="360">
        <f t="shared" si="41"/>
        <v>7309.2193342657883</v>
      </c>
      <c r="N278" s="360">
        <f t="shared" si="41"/>
        <v>7285.7183417602619</v>
      </c>
      <c r="O278" s="360">
        <f t="shared" si="42"/>
        <v>7262.2929109014021</v>
      </c>
      <c r="Q278" s="266">
        <v>893</v>
      </c>
      <c r="R278" s="266" t="s">
        <v>296</v>
      </c>
      <c r="S278" s="360">
        <f t="shared" si="43"/>
        <v>7500</v>
      </c>
      <c r="T278" s="360">
        <f t="shared" si="44"/>
        <v>7487.9129734085418</v>
      </c>
      <c r="U278" s="360">
        <f t="shared" si="45"/>
        <v>7471.7969379532633</v>
      </c>
      <c r="V278" s="360">
        <f t="shared" si="46"/>
        <v>7448.6301369863013</v>
      </c>
      <c r="W278" s="360">
        <f t="shared" si="47"/>
        <v>7423.4488315874287</v>
      </c>
      <c r="X278" s="360">
        <f t="shared" si="48"/>
        <v>7391.2167606768726</v>
      </c>
      <c r="Y278" s="360">
        <f t="shared" si="49"/>
        <v>7362.0064464141815</v>
      </c>
      <c r="Z278" s="360">
        <f t="shared" si="50"/>
        <v>7332.7961321514904</v>
      </c>
      <c r="AA278" s="443">
        <v>0.99678474657404881</v>
      </c>
    </row>
    <row r="279" spans="1:27" x14ac:dyDescent="0.2">
      <c r="A279" s="154" t="s">
        <v>297</v>
      </c>
      <c r="B279" s="354">
        <v>15378</v>
      </c>
      <c r="C279" s="354">
        <v>15633</v>
      </c>
      <c r="D279" s="354">
        <v>15092</v>
      </c>
      <c r="E279" s="354">
        <v>14938</v>
      </c>
      <c r="F279" s="331">
        <v>14852.138081395349</v>
      </c>
      <c r="G279" s="336">
        <v>14765.289244186048</v>
      </c>
      <c r="H279" s="337">
        <v>14681.4011627907</v>
      </c>
      <c r="I279" s="337">
        <v>14596.5261627907</v>
      </c>
      <c r="J279" s="337">
        <v>14515.598837209303</v>
      </c>
      <c r="K279" s="337">
        <v>14432.697674418607</v>
      </c>
      <c r="L279" s="337">
        <v>14349.796511627908</v>
      </c>
      <c r="M279" s="360">
        <f t="shared" si="41"/>
        <v>14267.679883935487</v>
      </c>
      <c r="N279" s="360">
        <f t="shared" si="41"/>
        <v>14186.033168170954</v>
      </c>
      <c r="O279" s="360">
        <f t="shared" si="42"/>
        <v>14104.853675266013</v>
      </c>
      <c r="Q279" s="266">
        <v>895</v>
      </c>
      <c r="R279" s="266" t="s">
        <v>297</v>
      </c>
      <c r="S279" s="360">
        <f t="shared" si="43"/>
        <v>14938</v>
      </c>
      <c r="T279" s="360">
        <f t="shared" si="44"/>
        <v>14852.138081395349</v>
      </c>
      <c r="U279" s="360">
        <f t="shared" si="45"/>
        <v>14765.289244186048</v>
      </c>
      <c r="V279" s="360">
        <f t="shared" si="46"/>
        <v>14681.4011627907</v>
      </c>
      <c r="W279" s="360">
        <f t="shared" si="47"/>
        <v>14596.5261627907</v>
      </c>
      <c r="X279" s="360">
        <f t="shared" si="48"/>
        <v>14515.598837209303</v>
      </c>
      <c r="Y279" s="360">
        <f t="shared" si="49"/>
        <v>14432.697674418607</v>
      </c>
      <c r="Z279" s="360">
        <f t="shared" si="50"/>
        <v>14349.796511627908</v>
      </c>
      <c r="AA279" s="443">
        <v>0.99427750577327834</v>
      </c>
    </row>
    <row r="280" spans="1:27" x14ac:dyDescent="0.2">
      <c r="A280" s="154" t="s">
        <v>24</v>
      </c>
      <c r="B280" s="354">
        <v>2737</v>
      </c>
      <c r="C280" s="354">
        <v>2678</v>
      </c>
      <c r="D280" s="354">
        <v>2626</v>
      </c>
      <c r="E280" s="354">
        <v>2589</v>
      </c>
      <c r="F280" s="331">
        <v>2536.121759622938</v>
      </c>
      <c r="G280" s="336">
        <v>2488.3279654359781</v>
      </c>
      <c r="H280" s="337">
        <v>2443.5848389630796</v>
      </c>
      <c r="I280" s="337">
        <v>2401.8923802042423</v>
      </c>
      <c r="J280" s="337">
        <v>2364.2674783974867</v>
      </c>
      <c r="K280" s="337">
        <v>2328.676355066772</v>
      </c>
      <c r="L280" s="337">
        <v>2295.1190102120977</v>
      </c>
      <c r="M280" s="360">
        <f t="shared" si="41"/>
        <v>2255.9572091636796</v>
      </c>
      <c r="N280" s="360">
        <f t="shared" si="41"/>
        <v>2217.4636290896565</v>
      </c>
      <c r="O280" s="360">
        <f t="shared" si="42"/>
        <v>2179.6268680815697</v>
      </c>
      <c r="Q280" s="266">
        <v>785</v>
      </c>
      <c r="R280" s="266" t="s">
        <v>24</v>
      </c>
      <c r="S280" s="360">
        <f t="shared" si="43"/>
        <v>2589</v>
      </c>
      <c r="T280" s="360">
        <f t="shared" si="44"/>
        <v>2536.121759622938</v>
      </c>
      <c r="U280" s="360">
        <f t="shared" si="45"/>
        <v>2488.3279654359781</v>
      </c>
      <c r="V280" s="360">
        <f t="shared" si="46"/>
        <v>2443.5848389630796</v>
      </c>
      <c r="W280" s="360">
        <f t="shared" si="47"/>
        <v>2401.8923802042423</v>
      </c>
      <c r="X280" s="360">
        <f t="shared" si="48"/>
        <v>2364.2674783974867</v>
      </c>
      <c r="Y280" s="360">
        <f t="shared" si="49"/>
        <v>2328.676355066772</v>
      </c>
      <c r="Z280" s="360">
        <f t="shared" si="50"/>
        <v>2295.1190102120977</v>
      </c>
      <c r="AA280" s="443">
        <v>0.98293691922982285</v>
      </c>
    </row>
    <row r="281" spans="1:27" x14ac:dyDescent="0.2">
      <c r="A281" s="154" t="s">
        <v>298</v>
      </c>
      <c r="B281" s="354">
        <v>67551</v>
      </c>
      <c r="C281" s="354">
        <v>68012</v>
      </c>
      <c r="D281" s="354">
        <v>67988</v>
      </c>
      <c r="E281" s="354">
        <v>68956</v>
      </c>
      <c r="F281" s="331">
        <v>68951.924646503452</v>
      </c>
      <c r="G281" s="336">
        <v>68949.886969755171</v>
      </c>
      <c r="H281" s="337">
        <v>68954.981161625852</v>
      </c>
      <c r="I281" s="337">
        <v>68968.226060489644</v>
      </c>
      <c r="J281" s="337">
        <v>68984.52747447585</v>
      </c>
      <c r="K281" s="337">
        <v>68997.772373339641</v>
      </c>
      <c r="L281" s="337">
        <v>68999.810050087923</v>
      </c>
      <c r="M281" s="360">
        <f t="shared" si="41"/>
        <v>69006.071307886567</v>
      </c>
      <c r="N281" s="360">
        <f t="shared" si="41"/>
        <v>69012.333133851251</v>
      </c>
      <c r="O281" s="360">
        <f t="shared" si="42"/>
        <v>69018.595528033533</v>
      </c>
      <c r="Q281" s="266">
        <v>905</v>
      </c>
      <c r="R281" s="266" t="s">
        <v>298</v>
      </c>
      <c r="S281" s="360">
        <f t="shared" si="43"/>
        <v>68956</v>
      </c>
      <c r="T281" s="360">
        <f t="shared" si="44"/>
        <v>68951.924646503452</v>
      </c>
      <c r="U281" s="360">
        <f t="shared" si="45"/>
        <v>68949.886969755171</v>
      </c>
      <c r="V281" s="360">
        <f t="shared" si="46"/>
        <v>68954.981161625852</v>
      </c>
      <c r="W281" s="360">
        <f t="shared" si="47"/>
        <v>68968.226060489644</v>
      </c>
      <c r="X281" s="360">
        <f t="shared" si="48"/>
        <v>68984.52747447585</v>
      </c>
      <c r="Y281" s="360">
        <f t="shared" si="49"/>
        <v>68997.772373339641</v>
      </c>
      <c r="Z281" s="360">
        <f t="shared" si="50"/>
        <v>68999.810050087923</v>
      </c>
      <c r="AA281" s="443">
        <v>1.0000907431164534</v>
      </c>
    </row>
    <row r="282" spans="1:27" x14ac:dyDescent="0.2">
      <c r="A282" s="154" t="s">
        <v>299</v>
      </c>
      <c r="B282" s="354">
        <v>20765</v>
      </c>
      <c r="C282" s="354">
        <v>21028</v>
      </c>
      <c r="D282" s="354">
        <v>20703</v>
      </c>
      <c r="E282" s="354">
        <v>20694</v>
      </c>
      <c r="F282" s="331">
        <v>20571.111601884571</v>
      </c>
      <c r="G282" s="336">
        <v>20452.285630153121</v>
      </c>
      <c r="H282" s="337">
        <v>20334.475265017667</v>
      </c>
      <c r="I282" s="337">
        <v>20214.633686690224</v>
      </c>
      <c r="J282" s="337">
        <v>20091.745288574795</v>
      </c>
      <c r="K282" s="337">
        <v>19965.810070671381</v>
      </c>
      <c r="L282" s="337">
        <v>19840.89045936396</v>
      </c>
      <c r="M282" s="360">
        <f t="shared" si="41"/>
        <v>19721.923499378063</v>
      </c>
      <c r="N282" s="360">
        <f t="shared" si="41"/>
        <v>19603.669871165115</v>
      </c>
      <c r="O282" s="360">
        <f t="shared" si="42"/>
        <v>19486.125297552546</v>
      </c>
      <c r="Q282" s="266">
        <v>908</v>
      </c>
      <c r="R282" s="266" t="s">
        <v>299</v>
      </c>
      <c r="S282" s="360">
        <f t="shared" si="43"/>
        <v>20694</v>
      </c>
      <c r="T282" s="360">
        <f t="shared" si="44"/>
        <v>20571.111601884571</v>
      </c>
      <c r="U282" s="360">
        <f t="shared" si="45"/>
        <v>20452.285630153121</v>
      </c>
      <c r="V282" s="360">
        <f t="shared" si="46"/>
        <v>20334.475265017667</v>
      </c>
      <c r="W282" s="360">
        <f t="shared" si="47"/>
        <v>20214.633686690224</v>
      </c>
      <c r="X282" s="360">
        <f t="shared" si="48"/>
        <v>20091.745288574795</v>
      </c>
      <c r="Y282" s="360">
        <f t="shared" si="49"/>
        <v>19965.810070671381</v>
      </c>
      <c r="Z282" s="360">
        <f t="shared" si="50"/>
        <v>19840.89045936396</v>
      </c>
      <c r="AA282" s="443">
        <v>0.99400395056716062</v>
      </c>
    </row>
    <row r="283" spans="1:27" x14ac:dyDescent="0.2">
      <c r="A283" s="154" t="s">
        <v>300</v>
      </c>
      <c r="B283" s="354">
        <v>237231</v>
      </c>
      <c r="C283" s="354">
        <v>238213</v>
      </c>
      <c r="D283" s="354">
        <v>242819</v>
      </c>
      <c r="E283" s="354">
        <v>247443</v>
      </c>
      <c r="F283" s="331">
        <v>250750.79251784197</v>
      </c>
      <c r="G283" s="336">
        <v>253915.15771783714</v>
      </c>
      <c r="H283" s="337">
        <v>256938.08764606671</v>
      </c>
      <c r="I283" s="337">
        <v>259821.57434861187</v>
      </c>
      <c r="J283" s="337">
        <v>262575.57805587869</v>
      </c>
      <c r="K283" s="337">
        <v>265205.07888307015</v>
      </c>
      <c r="L283" s="337">
        <v>267722.02910667349</v>
      </c>
      <c r="M283" s="360">
        <f t="shared" si="41"/>
        <v>270751.86494421796</v>
      </c>
      <c r="N283" s="360">
        <f t="shared" si="41"/>
        <v>273815.98972403997</v>
      </c>
      <c r="O283" s="360">
        <f t="shared" si="42"/>
        <v>276914.79149738245</v>
      </c>
      <c r="Q283" s="266">
        <v>92</v>
      </c>
      <c r="R283" s="266" t="s">
        <v>300</v>
      </c>
      <c r="S283" s="360">
        <f t="shared" si="43"/>
        <v>247443</v>
      </c>
      <c r="T283" s="360">
        <f t="shared" si="44"/>
        <v>250750.79251784197</v>
      </c>
      <c r="U283" s="360">
        <f t="shared" si="45"/>
        <v>253915.15771783714</v>
      </c>
      <c r="V283" s="360">
        <f t="shared" si="46"/>
        <v>256938.08764606671</v>
      </c>
      <c r="W283" s="360">
        <f t="shared" si="47"/>
        <v>259821.57434861187</v>
      </c>
      <c r="X283" s="360">
        <f t="shared" si="48"/>
        <v>262575.57805587869</v>
      </c>
      <c r="Y283" s="360">
        <f t="shared" si="49"/>
        <v>265205.07888307015</v>
      </c>
      <c r="Z283" s="360">
        <f t="shared" si="50"/>
        <v>267722.02910667349</v>
      </c>
      <c r="AA283" s="443">
        <v>1.0113170957491033</v>
      </c>
    </row>
    <row r="284" spans="1:27" x14ac:dyDescent="0.2">
      <c r="A284" s="154" t="s">
        <v>301</v>
      </c>
      <c r="B284" s="354">
        <v>20278</v>
      </c>
      <c r="C284" s="354">
        <v>20041</v>
      </c>
      <c r="D284" s="354">
        <v>19759</v>
      </c>
      <c r="E284" s="354">
        <v>19727</v>
      </c>
      <c r="F284" s="331">
        <v>19481.133405139251</v>
      </c>
      <c r="G284" s="336">
        <v>19245.384777145202</v>
      </c>
      <c r="H284" s="337">
        <v>19018.742319331181</v>
      </c>
      <c r="I284" s="337">
        <v>18801.206031697184</v>
      </c>
      <c r="J284" s="337">
        <v>18586.7051341232</v>
      </c>
      <c r="K284" s="337">
        <v>18376.251423295893</v>
      </c>
      <c r="L284" s="337">
        <v>18172.880289275276</v>
      </c>
      <c r="M284" s="360">
        <f t="shared" si="41"/>
        <v>17961.09340525138</v>
      </c>
      <c r="N284" s="360">
        <f t="shared" si="41"/>
        <v>17751.774687172045</v>
      </c>
      <c r="O284" s="360">
        <f t="shared" si="42"/>
        <v>17544.895371012728</v>
      </c>
      <c r="Q284" s="266">
        <v>915</v>
      </c>
      <c r="R284" s="266" t="s">
        <v>301</v>
      </c>
      <c r="S284" s="360">
        <f t="shared" si="43"/>
        <v>19727</v>
      </c>
      <c r="T284" s="360">
        <f t="shared" si="44"/>
        <v>19481.133405139251</v>
      </c>
      <c r="U284" s="360">
        <f t="shared" si="45"/>
        <v>19245.384777145202</v>
      </c>
      <c r="V284" s="360">
        <f t="shared" si="46"/>
        <v>19018.742319331181</v>
      </c>
      <c r="W284" s="360">
        <f t="shared" si="47"/>
        <v>18801.206031697184</v>
      </c>
      <c r="X284" s="360">
        <f t="shared" si="48"/>
        <v>18586.7051341232</v>
      </c>
      <c r="Y284" s="360">
        <f t="shared" si="49"/>
        <v>18376.251423295893</v>
      </c>
      <c r="Z284" s="360">
        <f t="shared" si="50"/>
        <v>18172.880289275276</v>
      </c>
      <c r="AA284" s="443">
        <v>0.98834599245399313</v>
      </c>
    </row>
    <row r="285" spans="1:27" x14ac:dyDescent="0.2">
      <c r="A285" s="154" t="s">
        <v>302</v>
      </c>
      <c r="B285" s="354">
        <v>2292</v>
      </c>
      <c r="C285" s="354">
        <v>2249</v>
      </c>
      <c r="D285" s="354">
        <v>2228</v>
      </c>
      <c r="E285" s="354">
        <v>2245</v>
      </c>
      <c r="F285" s="331">
        <v>2252.7614520311149</v>
      </c>
      <c r="G285" s="336">
        <v>2256.6421780466721</v>
      </c>
      <c r="H285" s="337">
        <v>2261.4930855661191</v>
      </c>
      <c r="I285" s="337">
        <v>2267.3141745894554</v>
      </c>
      <c r="J285" s="337">
        <v>2272.1650821089024</v>
      </c>
      <c r="K285" s="337">
        <v>2276.0458081244597</v>
      </c>
      <c r="L285" s="337">
        <v>2282.8370786516853</v>
      </c>
      <c r="M285" s="360">
        <f t="shared" si="41"/>
        <v>2288.2946000852671</v>
      </c>
      <c r="N285" s="360">
        <f t="shared" si="41"/>
        <v>2293.7651686786644</v>
      </c>
      <c r="O285" s="360">
        <f t="shared" si="42"/>
        <v>2299.2488156233958</v>
      </c>
      <c r="Q285" s="266">
        <v>918</v>
      </c>
      <c r="R285" s="266" t="s">
        <v>302</v>
      </c>
      <c r="S285" s="360">
        <f t="shared" si="43"/>
        <v>2245</v>
      </c>
      <c r="T285" s="360">
        <f t="shared" si="44"/>
        <v>2252.7614520311149</v>
      </c>
      <c r="U285" s="360">
        <f t="shared" si="45"/>
        <v>2256.6421780466721</v>
      </c>
      <c r="V285" s="360">
        <f t="shared" si="46"/>
        <v>2261.4930855661191</v>
      </c>
      <c r="W285" s="360">
        <f t="shared" si="47"/>
        <v>2267.3141745894554</v>
      </c>
      <c r="X285" s="360">
        <f t="shared" si="48"/>
        <v>2272.1650821089024</v>
      </c>
      <c r="Y285" s="360">
        <f t="shared" si="49"/>
        <v>2276.0458081244597</v>
      </c>
      <c r="Z285" s="360">
        <f t="shared" si="50"/>
        <v>2282.8370786516853</v>
      </c>
      <c r="AA285" s="443">
        <v>1.0023906749564473</v>
      </c>
    </row>
    <row r="286" spans="1:27" x14ac:dyDescent="0.2">
      <c r="A286" s="154" t="s">
        <v>303</v>
      </c>
      <c r="B286" s="354">
        <v>1972</v>
      </c>
      <c r="C286" s="354">
        <v>1926</v>
      </c>
      <c r="D286" s="354">
        <v>1894</v>
      </c>
      <c r="E286" s="354">
        <v>1895</v>
      </c>
      <c r="F286" s="331">
        <v>1860.1164049810502</v>
      </c>
      <c r="G286" s="336">
        <v>1826.2587980508931</v>
      </c>
      <c r="H286" s="337">
        <v>1793.4271792095287</v>
      </c>
      <c r="I286" s="337">
        <v>1762.6475365457497</v>
      </c>
      <c r="J286" s="337">
        <v>1732.8938819707635</v>
      </c>
      <c r="K286" s="337">
        <v>1705.1922035733623</v>
      </c>
      <c r="L286" s="337">
        <v>1678.5165132647539</v>
      </c>
      <c r="M286" s="360">
        <f t="shared" si="41"/>
        <v>1649.6796497834184</v>
      </c>
      <c r="N286" s="360">
        <f t="shared" si="41"/>
        <v>1621.3382027539733</v>
      </c>
      <c r="O286" s="360">
        <f t="shared" si="42"/>
        <v>1593.4836609365966</v>
      </c>
      <c r="Q286" s="266">
        <v>921</v>
      </c>
      <c r="R286" s="266" t="s">
        <v>303</v>
      </c>
      <c r="S286" s="360">
        <f t="shared" si="43"/>
        <v>1895</v>
      </c>
      <c r="T286" s="360">
        <f t="shared" si="44"/>
        <v>1860.1164049810502</v>
      </c>
      <c r="U286" s="360">
        <f t="shared" si="45"/>
        <v>1826.2587980508931</v>
      </c>
      <c r="V286" s="360">
        <f t="shared" si="46"/>
        <v>1793.4271792095287</v>
      </c>
      <c r="W286" s="360">
        <f t="shared" si="47"/>
        <v>1762.6475365457497</v>
      </c>
      <c r="X286" s="360">
        <f t="shared" si="48"/>
        <v>1732.8938819707635</v>
      </c>
      <c r="Y286" s="360">
        <f t="shared" si="49"/>
        <v>1705.1922035733623</v>
      </c>
      <c r="Z286" s="360">
        <f t="shared" si="50"/>
        <v>1678.5165132647539</v>
      </c>
      <c r="AA286" s="443">
        <v>0.98282002991722306</v>
      </c>
    </row>
    <row r="287" spans="1:27" x14ac:dyDescent="0.2">
      <c r="A287" s="154" t="s">
        <v>304</v>
      </c>
      <c r="B287" s="354">
        <v>4367</v>
      </c>
      <c r="C287" s="354">
        <v>4350</v>
      </c>
      <c r="D287" s="354">
        <v>4501</v>
      </c>
      <c r="E287" s="354">
        <v>4469</v>
      </c>
      <c r="F287" s="331">
        <v>4456.5659633665664</v>
      </c>
      <c r="G287" s="336">
        <v>4445.1680964525849</v>
      </c>
      <c r="H287" s="337">
        <v>4438.9510781358686</v>
      </c>
      <c r="I287" s="337">
        <v>4432.7340598191513</v>
      </c>
      <c r="J287" s="337">
        <v>4426.517041502434</v>
      </c>
      <c r="K287" s="337">
        <v>4420.3000231857168</v>
      </c>
      <c r="L287" s="337">
        <v>4416.1553443079056</v>
      </c>
      <c r="M287" s="360">
        <f t="shared" si="41"/>
        <v>4408.6581901000218</v>
      </c>
      <c r="N287" s="360">
        <f t="shared" si="41"/>
        <v>4401.1737635515692</v>
      </c>
      <c r="O287" s="360">
        <f t="shared" si="42"/>
        <v>4393.7020430552402</v>
      </c>
      <c r="Q287" s="266">
        <v>922</v>
      </c>
      <c r="R287" s="266" t="s">
        <v>304</v>
      </c>
      <c r="S287" s="360">
        <f t="shared" si="43"/>
        <v>4469</v>
      </c>
      <c r="T287" s="360">
        <f t="shared" si="44"/>
        <v>4456.5659633665664</v>
      </c>
      <c r="U287" s="360">
        <f t="shared" si="45"/>
        <v>4445.1680964525849</v>
      </c>
      <c r="V287" s="360">
        <f t="shared" si="46"/>
        <v>4438.9510781358686</v>
      </c>
      <c r="W287" s="360">
        <f t="shared" si="47"/>
        <v>4432.7340598191513</v>
      </c>
      <c r="X287" s="360">
        <f t="shared" si="48"/>
        <v>4426.517041502434</v>
      </c>
      <c r="Y287" s="360">
        <f t="shared" si="49"/>
        <v>4420.3000231857168</v>
      </c>
      <c r="Z287" s="360">
        <f t="shared" si="50"/>
        <v>4416.1553443079056</v>
      </c>
      <c r="AA287" s="443">
        <v>0.99830233458215023</v>
      </c>
    </row>
    <row r="288" spans="1:27" x14ac:dyDescent="0.2">
      <c r="A288" s="154" t="s">
        <v>305</v>
      </c>
      <c r="B288" s="354">
        <v>3065</v>
      </c>
      <c r="C288" s="354">
        <v>3057</v>
      </c>
      <c r="D288" s="354">
        <v>2946</v>
      </c>
      <c r="E288" s="354">
        <v>2936</v>
      </c>
      <c r="F288" s="331">
        <v>2893.8996244452032</v>
      </c>
      <c r="G288" s="336">
        <v>2849.794469102083</v>
      </c>
      <c r="H288" s="337">
        <v>2807.6940935472862</v>
      </c>
      <c r="I288" s="337">
        <v>2764.5913280983277</v>
      </c>
      <c r="J288" s="337">
        <v>2722.4909525435305</v>
      </c>
      <c r="K288" s="337">
        <v>2679.3881870945715</v>
      </c>
      <c r="L288" s="337">
        <v>2638.2902014339365</v>
      </c>
      <c r="M288" s="360">
        <f t="shared" si="41"/>
        <v>2598.2997562302248</v>
      </c>
      <c r="N288" s="360">
        <f t="shared" si="41"/>
        <v>2558.9154747103721</v>
      </c>
      <c r="O288" s="360">
        <f t="shared" si="42"/>
        <v>2520.128168819338</v>
      </c>
      <c r="Q288" s="266">
        <v>924</v>
      </c>
      <c r="R288" s="266" t="s">
        <v>305</v>
      </c>
      <c r="S288" s="360">
        <f t="shared" si="43"/>
        <v>2936</v>
      </c>
      <c r="T288" s="360">
        <f t="shared" si="44"/>
        <v>2893.8996244452032</v>
      </c>
      <c r="U288" s="360">
        <f t="shared" si="45"/>
        <v>2849.794469102083</v>
      </c>
      <c r="V288" s="360">
        <f t="shared" si="46"/>
        <v>2807.6940935472862</v>
      </c>
      <c r="W288" s="360">
        <f t="shared" si="47"/>
        <v>2764.5913280983277</v>
      </c>
      <c r="X288" s="360">
        <f t="shared" si="48"/>
        <v>2722.4909525435305</v>
      </c>
      <c r="Y288" s="360">
        <f t="shared" si="49"/>
        <v>2679.3881870945715</v>
      </c>
      <c r="Z288" s="360">
        <f t="shared" si="50"/>
        <v>2638.2902014339365</v>
      </c>
      <c r="AA288" s="443">
        <v>0.98484228718206335</v>
      </c>
    </row>
    <row r="289" spans="1:29" x14ac:dyDescent="0.2">
      <c r="A289" s="154" t="s">
        <v>306</v>
      </c>
      <c r="B289" s="354">
        <v>3522</v>
      </c>
      <c r="C289" s="354">
        <v>3572</v>
      </c>
      <c r="D289" s="354">
        <v>3427</v>
      </c>
      <c r="E289" s="354">
        <v>3387</v>
      </c>
      <c r="F289" s="331">
        <v>3345.0123966942151</v>
      </c>
      <c r="G289" s="336">
        <v>3308.0233175914996</v>
      </c>
      <c r="H289" s="337">
        <v>3270.0345336481701</v>
      </c>
      <c r="I289" s="337">
        <v>3235.0448642266824</v>
      </c>
      <c r="J289" s="337">
        <v>3200.0551948051948</v>
      </c>
      <c r="K289" s="337">
        <v>3164.0658205430932</v>
      </c>
      <c r="L289" s="337">
        <v>3129.0761511216056</v>
      </c>
      <c r="M289" s="360">
        <f t="shared" si="41"/>
        <v>3093.8698617974264</v>
      </c>
      <c r="N289" s="360">
        <f t="shared" si="41"/>
        <v>3059.0596902882558</v>
      </c>
      <c r="O289" s="360">
        <f t="shared" si="42"/>
        <v>3024.6411797391856</v>
      </c>
      <c r="Q289" s="266">
        <v>925</v>
      </c>
      <c r="R289" s="266" t="s">
        <v>306</v>
      </c>
      <c r="S289" s="360">
        <f t="shared" si="43"/>
        <v>3387</v>
      </c>
      <c r="T289" s="360">
        <f t="shared" si="44"/>
        <v>3345.0123966942151</v>
      </c>
      <c r="U289" s="360">
        <f t="shared" si="45"/>
        <v>3308.0233175914996</v>
      </c>
      <c r="V289" s="360">
        <f t="shared" si="46"/>
        <v>3270.0345336481701</v>
      </c>
      <c r="W289" s="360">
        <f t="shared" si="47"/>
        <v>3235.0448642266824</v>
      </c>
      <c r="X289" s="360">
        <f t="shared" si="48"/>
        <v>3200.0551948051948</v>
      </c>
      <c r="Y289" s="360">
        <f t="shared" si="49"/>
        <v>3164.0658205430932</v>
      </c>
      <c r="Z289" s="360">
        <f t="shared" si="50"/>
        <v>3129.0761511216056</v>
      </c>
      <c r="AA289" s="443">
        <v>0.98874866330384459</v>
      </c>
    </row>
    <row r="290" spans="1:29" x14ac:dyDescent="0.2">
      <c r="A290" s="154" t="s">
        <v>307</v>
      </c>
      <c r="B290" s="354">
        <v>29160</v>
      </c>
      <c r="C290" s="354">
        <v>29288</v>
      </c>
      <c r="D290" s="354">
        <v>28913</v>
      </c>
      <c r="E290" s="354">
        <v>28811</v>
      </c>
      <c r="F290" s="331">
        <v>28862.170571760365</v>
      </c>
      <c r="G290" s="336">
        <v>28910.38899514994</v>
      </c>
      <c r="H290" s="337">
        <v>28952.703121797935</v>
      </c>
      <c r="I290" s="337">
        <v>28992.065100075142</v>
      </c>
      <c r="J290" s="337">
        <v>29024.53873215384</v>
      </c>
      <c r="K290" s="337">
        <v>29055.044265318673</v>
      </c>
      <c r="L290" s="337">
        <v>29084.56574902658</v>
      </c>
      <c r="M290" s="360">
        <f t="shared" si="41"/>
        <v>29123.859186395392</v>
      </c>
      <c r="N290" s="360">
        <f t="shared" si="41"/>
        <v>29163.205709453483</v>
      </c>
      <c r="O290" s="360">
        <f t="shared" si="42"/>
        <v>29202.605389919969</v>
      </c>
      <c r="Q290" s="266">
        <v>927</v>
      </c>
      <c r="R290" s="266" t="s">
        <v>307</v>
      </c>
      <c r="S290" s="360">
        <f t="shared" si="43"/>
        <v>28811</v>
      </c>
      <c r="T290" s="360">
        <f t="shared" si="44"/>
        <v>28862.170571760365</v>
      </c>
      <c r="U290" s="360">
        <f t="shared" si="45"/>
        <v>28910.38899514994</v>
      </c>
      <c r="V290" s="360">
        <f t="shared" si="46"/>
        <v>28952.703121797935</v>
      </c>
      <c r="W290" s="360">
        <f t="shared" si="47"/>
        <v>28992.065100075142</v>
      </c>
      <c r="X290" s="360">
        <f t="shared" si="48"/>
        <v>29024.53873215384</v>
      </c>
      <c r="Y290" s="360">
        <f t="shared" si="49"/>
        <v>29055.044265318673</v>
      </c>
      <c r="Z290" s="360">
        <f t="shared" si="50"/>
        <v>29084.56574902658</v>
      </c>
      <c r="AA290" s="443">
        <v>1.0013510064997317</v>
      </c>
    </row>
    <row r="291" spans="1:29" x14ac:dyDescent="0.2">
      <c r="A291" s="154" t="s">
        <v>308</v>
      </c>
      <c r="B291" s="354">
        <v>6097</v>
      </c>
      <c r="C291" s="354">
        <v>5888</v>
      </c>
      <c r="D291" s="354">
        <v>5951</v>
      </c>
      <c r="E291" s="354">
        <v>5877</v>
      </c>
      <c r="F291" s="331">
        <v>5784.3927272727269</v>
      </c>
      <c r="G291" s="336">
        <v>5695.8561038961034</v>
      </c>
      <c r="H291" s="337">
        <v>5611.3901298701294</v>
      </c>
      <c r="I291" s="337">
        <v>5529.977142857143</v>
      </c>
      <c r="J291" s="337">
        <v>5454.67012987013</v>
      </c>
      <c r="K291" s="337">
        <v>5377.3277922077923</v>
      </c>
      <c r="L291" s="337">
        <v>5304.0561038961041</v>
      </c>
      <c r="M291" s="360">
        <f t="shared" si="41"/>
        <v>5226.9012570609411</v>
      </c>
      <c r="N291" s="360">
        <f t="shared" si="41"/>
        <v>5150.8687344006275</v>
      </c>
      <c r="O291" s="360">
        <f t="shared" si="42"/>
        <v>5075.9422101546288</v>
      </c>
      <c r="Q291" s="266">
        <v>931</v>
      </c>
      <c r="R291" s="266" t="s">
        <v>308</v>
      </c>
      <c r="S291" s="360">
        <f t="shared" si="43"/>
        <v>5877</v>
      </c>
      <c r="T291" s="360">
        <f t="shared" si="44"/>
        <v>5784.3927272727269</v>
      </c>
      <c r="U291" s="360">
        <f t="shared" si="45"/>
        <v>5695.8561038961034</v>
      </c>
      <c r="V291" s="360">
        <f t="shared" si="46"/>
        <v>5611.3901298701294</v>
      </c>
      <c r="W291" s="360">
        <f t="shared" si="47"/>
        <v>5529.977142857143</v>
      </c>
      <c r="X291" s="360">
        <f t="shared" si="48"/>
        <v>5454.67012987013</v>
      </c>
      <c r="Y291" s="360">
        <f t="shared" si="49"/>
        <v>5377.3277922077923</v>
      </c>
      <c r="Z291" s="360">
        <f t="shared" si="50"/>
        <v>5304.0561038961041</v>
      </c>
      <c r="AA291" s="443">
        <v>0.98545361411647048</v>
      </c>
    </row>
    <row r="292" spans="1:29" x14ac:dyDescent="0.2">
      <c r="A292" s="154" t="s">
        <v>309</v>
      </c>
      <c r="B292" s="354">
        <v>2784</v>
      </c>
      <c r="C292" s="354">
        <v>2738</v>
      </c>
      <c r="D292" s="354">
        <v>2671</v>
      </c>
      <c r="E292" s="354">
        <v>2656</v>
      </c>
      <c r="F292" s="331">
        <v>2598.039816232772</v>
      </c>
      <c r="G292" s="336">
        <v>2544.1470137825422</v>
      </c>
      <c r="H292" s="337">
        <v>2495.3384379785607</v>
      </c>
      <c r="I292" s="337">
        <v>2449.580398162328</v>
      </c>
      <c r="J292" s="337">
        <v>2407.8897396630937</v>
      </c>
      <c r="K292" s="337">
        <v>2364.1653905053599</v>
      </c>
      <c r="L292" s="337">
        <v>2323.491577335375</v>
      </c>
      <c r="M292" s="360">
        <f t="shared" si="41"/>
        <v>2279.5209418277545</v>
      </c>
      <c r="N292" s="360">
        <f t="shared" si="41"/>
        <v>2236.3824232969305</v>
      </c>
      <c r="O292" s="360">
        <f t="shared" si="42"/>
        <v>2194.060274445756</v>
      </c>
      <c r="Q292" s="266">
        <v>934</v>
      </c>
      <c r="R292" s="266" t="s">
        <v>309</v>
      </c>
      <c r="S292" s="360">
        <f t="shared" si="43"/>
        <v>2656</v>
      </c>
      <c r="T292" s="360">
        <f t="shared" si="44"/>
        <v>2598.039816232772</v>
      </c>
      <c r="U292" s="360">
        <f t="shared" si="45"/>
        <v>2544.1470137825422</v>
      </c>
      <c r="V292" s="360">
        <f t="shared" si="46"/>
        <v>2495.3384379785607</v>
      </c>
      <c r="W292" s="360">
        <f t="shared" si="47"/>
        <v>2449.580398162328</v>
      </c>
      <c r="X292" s="360">
        <f t="shared" si="48"/>
        <v>2407.8897396630937</v>
      </c>
      <c r="Y292" s="360">
        <f t="shared" si="49"/>
        <v>2364.1653905053599</v>
      </c>
      <c r="Z292" s="360">
        <f t="shared" si="50"/>
        <v>2323.491577335375</v>
      </c>
      <c r="AA292" s="443">
        <v>0.98107562087311428</v>
      </c>
    </row>
    <row r="293" spans="1:29" x14ac:dyDescent="0.2">
      <c r="A293" s="154" t="s">
        <v>310</v>
      </c>
      <c r="B293" s="354">
        <v>3087</v>
      </c>
      <c r="C293" s="354">
        <v>2998</v>
      </c>
      <c r="D293" s="354">
        <v>2985</v>
      </c>
      <c r="E293" s="354">
        <v>2927</v>
      </c>
      <c r="F293" s="331">
        <v>2886.3609888249239</v>
      </c>
      <c r="G293" s="336">
        <v>2850.6779546224179</v>
      </c>
      <c r="H293" s="337">
        <v>2816.9773112089401</v>
      </c>
      <c r="I293" s="337">
        <v>2784.2678631899762</v>
      </c>
      <c r="J293" s="337">
        <v>2751.5584151710123</v>
      </c>
      <c r="K293" s="337">
        <v>2717.8577717575345</v>
      </c>
      <c r="L293" s="337">
        <v>2686.1395191330848</v>
      </c>
      <c r="M293" s="360">
        <f t="shared" si="41"/>
        <v>2653.3891681409777</v>
      </c>
      <c r="N293" s="360">
        <f t="shared" si="41"/>
        <v>2621.0381208642834</v>
      </c>
      <c r="O293" s="360">
        <f t="shared" si="42"/>
        <v>2589.0815088526701</v>
      </c>
      <c r="Q293" s="266">
        <v>935</v>
      </c>
      <c r="R293" s="266" t="s">
        <v>310</v>
      </c>
      <c r="S293" s="360">
        <f t="shared" si="43"/>
        <v>2927</v>
      </c>
      <c r="T293" s="360">
        <f t="shared" si="44"/>
        <v>2886.3609888249239</v>
      </c>
      <c r="U293" s="360">
        <f t="shared" si="45"/>
        <v>2850.6779546224179</v>
      </c>
      <c r="V293" s="360">
        <f t="shared" si="46"/>
        <v>2816.9773112089401</v>
      </c>
      <c r="W293" s="360">
        <f t="shared" si="47"/>
        <v>2784.2678631899762</v>
      </c>
      <c r="X293" s="360">
        <f t="shared" si="48"/>
        <v>2751.5584151710123</v>
      </c>
      <c r="Y293" s="360">
        <f t="shared" si="49"/>
        <v>2717.8577717575345</v>
      </c>
      <c r="Z293" s="360">
        <f t="shared" si="50"/>
        <v>2686.1395191330848</v>
      </c>
      <c r="AA293" s="443">
        <v>0.98780765080933819</v>
      </c>
    </row>
    <row r="294" spans="1:29" x14ac:dyDescent="0.2">
      <c r="A294" s="154" t="s">
        <v>311</v>
      </c>
      <c r="B294" s="354">
        <v>6510</v>
      </c>
      <c r="C294" s="354">
        <v>6402</v>
      </c>
      <c r="D294" s="354">
        <v>6395</v>
      </c>
      <c r="E294" s="354">
        <v>6275</v>
      </c>
      <c r="F294" s="331">
        <v>6184.2187751165411</v>
      </c>
      <c r="G294" s="336">
        <v>6100.4983121684618</v>
      </c>
      <c r="H294" s="337">
        <v>6019.8038900498314</v>
      </c>
      <c r="I294" s="337">
        <v>5945.1615495900978</v>
      </c>
      <c r="J294" s="337">
        <v>5871.5278894068479</v>
      </c>
      <c r="K294" s="337">
        <v>5801.9289503295295</v>
      </c>
      <c r="L294" s="337">
        <v>5734.3473718051764</v>
      </c>
      <c r="M294" s="360">
        <f t="shared" si="41"/>
        <v>5661.0140014105527</v>
      </c>
      <c r="N294" s="360">
        <f t="shared" si="41"/>
        <v>5588.618450590634</v>
      </c>
      <c r="O294" s="360">
        <f t="shared" si="42"/>
        <v>5517.1487260939175</v>
      </c>
      <c r="Q294" s="266">
        <v>936</v>
      </c>
      <c r="R294" s="266" t="s">
        <v>311</v>
      </c>
      <c r="S294" s="360">
        <f t="shared" si="43"/>
        <v>6275</v>
      </c>
      <c r="T294" s="360">
        <f t="shared" si="44"/>
        <v>6184.2187751165411</v>
      </c>
      <c r="U294" s="360">
        <f t="shared" si="45"/>
        <v>6100.4983121684618</v>
      </c>
      <c r="V294" s="360">
        <f t="shared" si="46"/>
        <v>6019.8038900498314</v>
      </c>
      <c r="W294" s="360">
        <f t="shared" si="47"/>
        <v>5945.1615495900978</v>
      </c>
      <c r="X294" s="360">
        <f t="shared" si="48"/>
        <v>5871.5278894068479</v>
      </c>
      <c r="Y294" s="360">
        <f t="shared" si="49"/>
        <v>5801.9289503295295</v>
      </c>
      <c r="Z294" s="360">
        <f t="shared" si="50"/>
        <v>5734.3473718051764</v>
      </c>
      <c r="AA294" s="443">
        <v>0.98721155771706626</v>
      </c>
    </row>
    <row r="295" spans="1:29" s="274" customFormat="1" x14ac:dyDescent="0.2">
      <c r="A295" s="271" t="s">
        <v>380</v>
      </c>
      <c r="B295" s="335">
        <v>6388</v>
      </c>
      <c r="C295" s="335">
        <v>6540</v>
      </c>
      <c r="D295" s="335">
        <v>6287</v>
      </c>
      <c r="E295" s="335">
        <v>6291</v>
      </c>
      <c r="F295" s="332">
        <v>6234.3516642547038</v>
      </c>
      <c r="G295" s="336">
        <v>6178.7149059334306</v>
      </c>
      <c r="H295" s="337">
        <v>6125.1013024602034</v>
      </c>
      <c r="I295" s="337">
        <v>6068.4529667149072</v>
      </c>
      <c r="J295" s="337">
        <v>6009.7814761215641</v>
      </c>
      <c r="K295" s="337">
        <v>5954.1447178002909</v>
      </c>
      <c r="L295" s="337">
        <v>5898.5079594790168</v>
      </c>
      <c r="M295" s="360">
        <f t="shared" si="41"/>
        <v>5844.4736043374423</v>
      </c>
      <c r="N295" s="360">
        <f t="shared" si="41"/>
        <v>5790.9342407353597</v>
      </c>
      <c r="O295" s="360">
        <f t="shared" si="42"/>
        <v>5737.8853342127286</v>
      </c>
      <c r="P295" s="266"/>
      <c r="Q295" s="266">
        <v>946</v>
      </c>
      <c r="R295" s="266" t="s">
        <v>416</v>
      </c>
      <c r="S295" s="360">
        <f t="shared" si="43"/>
        <v>6291</v>
      </c>
      <c r="T295" s="360">
        <f t="shared" si="44"/>
        <v>6234.3516642547038</v>
      </c>
      <c r="U295" s="360">
        <f t="shared" si="45"/>
        <v>6178.7149059334306</v>
      </c>
      <c r="V295" s="360">
        <f t="shared" si="46"/>
        <v>6125.1013024602034</v>
      </c>
      <c r="W295" s="360">
        <f t="shared" si="47"/>
        <v>6068.4529667149072</v>
      </c>
      <c r="X295" s="360">
        <f t="shared" si="48"/>
        <v>6009.7814761215641</v>
      </c>
      <c r="Y295" s="360">
        <f t="shared" si="49"/>
        <v>5954.1447178002909</v>
      </c>
      <c r="Z295" s="360">
        <f t="shared" si="50"/>
        <v>5898.5079594790168</v>
      </c>
      <c r="AA295" s="443">
        <v>0.99083931809318992</v>
      </c>
      <c r="AB295" s="360"/>
      <c r="AC295" s="360"/>
    </row>
    <row r="296" spans="1:29" x14ac:dyDescent="0.2">
      <c r="A296" s="154" t="s">
        <v>312</v>
      </c>
      <c r="B296" s="354">
        <v>3890</v>
      </c>
      <c r="C296" s="354">
        <v>3763</v>
      </c>
      <c r="D296" s="354">
        <v>3788</v>
      </c>
      <c r="E296" s="354">
        <v>3765</v>
      </c>
      <c r="F296" s="331">
        <v>3698.1352459016393</v>
      </c>
      <c r="G296" s="336">
        <v>3639.5</v>
      </c>
      <c r="H296" s="337">
        <v>3581.8934426229507</v>
      </c>
      <c r="I296" s="337">
        <v>3528.4016393442621</v>
      </c>
      <c r="J296" s="337">
        <v>3474.9098360655735</v>
      </c>
      <c r="K296" s="337">
        <v>3424.5040983606555</v>
      </c>
      <c r="L296" s="337">
        <v>3378.2131147540981</v>
      </c>
      <c r="M296" s="360">
        <f t="shared" si="41"/>
        <v>3326.3041858522588</v>
      </c>
      <c r="N296" s="360">
        <f t="shared" si="41"/>
        <v>3275.1928788908381</v>
      </c>
      <c r="O296" s="360">
        <f t="shared" si="42"/>
        <v>3224.8669377749147</v>
      </c>
      <c r="Q296" s="266">
        <v>976</v>
      </c>
      <c r="R296" s="266" t="s">
        <v>312</v>
      </c>
      <c r="S296" s="360">
        <f t="shared" si="43"/>
        <v>3765</v>
      </c>
      <c r="T296" s="360">
        <f t="shared" si="44"/>
        <v>3698.1352459016393</v>
      </c>
      <c r="U296" s="360">
        <f t="shared" si="45"/>
        <v>3639.5</v>
      </c>
      <c r="V296" s="360">
        <f t="shared" si="46"/>
        <v>3581.8934426229507</v>
      </c>
      <c r="W296" s="360">
        <f t="shared" si="47"/>
        <v>3528.4016393442621</v>
      </c>
      <c r="X296" s="360">
        <f t="shared" si="48"/>
        <v>3474.9098360655735</v>
      </c>
      <c r="Y296" s="360">
        <f t="shared" si="49"/>
        <v>3424.5040983606555</v>
      </c>
      <c r="Z296" s="360">
        <f t="shared" si="50"/>
        <v>3378.2131147540981</v>
      </c>
      <c r="AA296" s="443">
        <v>0.98463420538061064</v>
      </c>
    </row>
    <row r="297" spans="1:29" x14ac:dyDescent="0.2">
      <c r="A297" s="154" t="s">
        <v>313</v>
      </c>
      <c r="B297" s="354">
        <v>15304</v>
      </c>
      <c r="C297" s="354">
        <v>15341</v>
      </c>
      <c r="D297" s="354">
        <v>15293</v>
      </c>
      <c r="E297" s="354">
        <v>15369</v>
      </c>
      <c r="F297" s="331">
        <v>15391.889788253578</v>
      </c>
      <c r="G297" s="336">
        <v>15411.793951952341</v>
      </c>
      <c r="H297" s="337">
        <v>15423.736450171598</v>
      </c>
      <c r="I297" s="337">
        <v>15424.731658356537</v>
      </c>
      <c r="J297" s="337">
        <v>15415.774784692094</v>
      </c>
      <c r="K297" s="337">
        <v>15401.841870102959</v>
      </c>
      <c r="L297" s="337">
        <v>15380.942498219258</v>
      </c>
      <c r="M297" s="360">
        <f t="shared" si="41"/>
        <v>15382.657459482672</v>
      </c>
      <c r="N297" s="360">
        <f t="shared" si="41"/>
        <v>15384.372611962726</v>
      </c>
      <c r="O297" s="360">
        <f t="shared" si="42"/>
        <v>15386.087955680739</v>
      </c>
      <c r="Q297" s="266">
        <v>977</v>
      </c>
      <c r="R297" s="266" t="s">
        <v>313</v>
      </c>
      <c r="S297" s="360">
        <f t="shared" si="43"/>
        <v>15369</v>
      </c>
      <c r="T297" s="360">
        <f t="shared" si="44"/>
        <v>15391.889788253578</v>
      </c>
      <c r="U297" s="360">
        <f t="shared" si="45"/>
        <v>15411.793951952341</v>
      </c>
      <c r="V297" s="360">
        <f t="shared" si="46"/>
        <v>15423.736450171598</v>
      </c>
      <c r="W297" s="360">
        <f t="shared" si="47"/>
        <v>15424.731658356537</v>
      </c>
      <c r="X297" s="360">
        <f t="shared" si="48"/>
        <v>15415.774784692094</v>
      </c>
      <c r="Y297" s="360">
        <f t="shared" si="49"/>
        <v>15401.841870102959</v>
      </c>
      <c r="Z297" s="360">
        <f t="shared" si="50"/>
        <v>15380.942498219258</v>
      </c>
      <c r="AA297" s="443">
        <v>1.0001114991011515</v>
      </c>
    </row>
    <row r="298" spans="1:29" x14ac:dyDescent="0.2">
      <c r="A298" s="154" t="s">
        <v>314</v>
      </c>
      <c r="B298" s="354">
        <v>33352</v>
      </c>
      <c r="C298" s="354">
        <v>33499</v>
      </c>
      <c r="D298" s="354">
        <v>33607</v>
      </c>
      <c r="E298" s="354">
        <v>33677</v>
      </c>
      <c r="F298" s="331">
        <v>33793.677790938709</v>
      </c>
      <c r="G298" s="336">
        <v>33908.361089724611</v>
      </c>
      <c r="H298" s="337">
        <v>34014.069173822922</v>
      </c>
      <c r="I298" s="337">
        <v>34109.804797157245</v>
      </c>
      <c r="J298" s="337">
        <v>34191.57897542198</v>
      </c>
      <c r="K298" s="337">
        <v>34262.383446846317</v>
      </c>
      <c r="L298" s="337">
        <v>34328.201687888657</v>
      </c>
      <c r="M298" s="360">
        <f t="shared" si="41"/>
        <v>34422.258510354259</v>
      </c>
      <c r="N298" s="360">
        <f t="shared" si="41"/>
        <v>34516.573041800155</v>
      </c>
      <c r="O298" s="360">
        <f t="shared" si="42"/>
        <v>34611.145988330558</v>
      </c>
      <c r="Q298" s="266">
        <v>980</v>
      </c>
      <c r="R298" s="266" t="s">
        <v>314</v>
      </c>
      <c r="S298" s="360">
        <f t="shared" si="43"/>
        <v>33677</v>
      </c>
      <c r="T298" s="360">
        <f t="shared" si="44"/>
        <v>33793.677790938709</v>
      </c>
      <c r="U298" s="360">
        <f t="shared" si="45"/>
        <v>33908.361089724611</v>
      </c>
      <c r="V298" s="360">
        <f t="shared" si="46"/>
        <v>34014.069173822922</v>
      </c>
      <c r="W298" s="360">
        <f t="shared" si="47"/>
        <v>34109.804797157245</v>
      </c>
      <c r="X298" s="360">
        <f t="shared" si="48"/>
        <v>34191.57897542198</v>
      </c>
      <c r="Y298" s="360">
        <f t="shared" si="49"/>
        <v>34262.383446846317</v>
      </c>
      <c r="Z298" s="360">
        <f t="shared" si="50"/>
        <v>34328.201687888657</v>
      </c>
      <c r="AA298" s="443">
        <v>1.0027399286254715</v>
      </c>
    </row>
    <row r="299" spans="1:29" x14ac:dyDescent="0.2">
      <c r="A299" s="154" t="s">
        <v>315</v>
      </c>
      <c r="B299" s="354">
        <v>2314</v>
      </c>
      <c r="C299" s="354">
        <v>2286</v>
      </c>
      <c r="D299" s="354">
        <v>2237</v>
      </c>
      <c r="E299" s="354">
        <v>2207</v>
      </c>
      <c r="F299" s="331">
        <v>2190.3986725663717</v>
      </c>
      <c r="G299" s="336">
        <v>2173.7973451327434</v>
      </c>
      <c r="H299" s="337">
        <v>2157.1960176991151</v>
      </c>
      <c r="I299" s="337">
        <v>2143.5243362831861</v>
      </c>
      <c r="J299" s="337">
        <v>2128.8761061946907</v>
      </c>
      <c r="K299" s="337">
        <v>2114.2278761061953</v>
      </c>
      <c r="L299" s="337">
        <v>2102.5092920353986</v>
      </c>
      <c r="M299" s="360">
        <f t="shared" si="41"/>
        <v>2087.9920187769576</v>
      </c>
      <c r="N299" s="360">
        <f t="shared" si="41"/>
        <v>2073.5749834692638</v>
      </c>
      <c r="O299" s="360">
        <f t="shared" si="42"/>
        <v>2059.2574939956507</v>
      </c>
      <c r="Q299" s="266">
        <v>981</v>
      </c>
      <c r="R299" s="266" t="s">
        <v>315</v>
      </c>
      <c r="S299" s="360">
        <f t="shared" si="43"/>
        <v>2207</v>
      </c>
      <c r="T299" s="360">
        <f t="shared" si="44"/>
        <v>2190.3986725663717</v>
      </c>
      <c r="U299" s="360">
        <f t="shared" si="45"/>
        <v>2173.7973451327434</v>
      </c>
      <c r="V299" s="360">
        <f t="shared" si="46"/>
        <v>2157.1960176991151</v>
      </c>
      <c r="W299" s="360">
        <f t="shared" si="47"/>
        <v>2143.5243362831861</v>
      </c>
      <c r="X299" s="360">
        <f t="shared" si="48"/>
        <v>2128.8761061946907</v>
      </c>
      <c r="Y299" s="360">
        <f t="shared" si="49"/>
        <v>2114.2278761061953</v>
      </c>
      <c r="Z299" s="360">
        <f t="shared" si="50"/>
        <v>2102.5092920353986</v>
      </c>
      <c r="AA299" s="443">
        <v>0.99309526321075758</v>
      </c>
    </row>
    <row r="300" spans="1:29" x14ac:dyDescent="0.2">
      <c r="A300" s="154" t="s">
        <v>316</v>
      </c>
      <c r="B300" s="354">
        <v>5522</v>
      </c>
      <c r="C300" s="354">
        <v>5369</v>
      </c>
      <c r="D300" s="354">
        <v>5406</v>
      </c>
      <c r="E300" s="354">
        <v>5316</v>
      </c>
      <c r="F300" s="331">
        <v>5230.9277957706236</v>
      </c>
      <c r="G300" s="336">
        <v>5151.9321775576309</v>
      </c>
      <c r="H300" s="337">
        <v>5073.949323680702</v>
      </c>
      <c r="I300" s="337">
        <v>4996.979234139837</v>
      </c>
      <c r="J300" s="337">
        <v>4925.0729662792919</v>
      </c>
      <c r="K300" s="337">
        <v>4858.2305200990677</v>
      </c>
      <c r="L300" s="337">
        <v>4794.4263669270349</v>
      </c>
      <c r="M300" s="360">
        <f t="shared" si="41"/>
        <v>4724.2181556003561</v>
      </c>
      <c r="N300" s="360">
        <f t="shared" si="41"/>
        <v>4655.0380532820236</v>
      </c>
      <c r="O300" s="360">
        <f t="shared" si="42"/>
        <v>4586.8710046371543</v>
      </c>
      <c r="Q300" s="266">
        <v>989</v>
      </c>
      <c r="R300" s="266" t="s">
        <v>316</v>
      </c>
      <c r="S300" s="360">
        <f t="shared" si="43"/>
        <v>5316</v>
      </c>
      <c r="T300" s="360">
        <f t="shared" si="44"/>
        <v>5230.9277957706236</v>
      </c>
      <c r="U300" s="360">
        <f t="shared" si="45"/>
        <v>5151.9321775576309</v>
      </c>
      <c r="V300" s="360">
        <f t="shared" si="46"/>
        <v>5073.949323680702</v>
      </c>
      <c r="W300" s="360">
        <f t="shared" si="47"/>
        <v>4996.979234139837</v>
      </c>
      <c r="X300" s="360">
        <f t="shared" si="48"/>
        <v>4925.0729662792919</v>
      </c>
      <c r="Y300" s="360">
        <f t="shared" si="49"/>
        <v>4858.2305200990677</v>
      </c>
      <c r="Z300" s="360">
        <f t="shared" si="50"/>
        <v>4794.4263669270349</v>
      </c>
      <c r="AA300" s="443">
        <v>0.98535628541278886</v>
      </c>
    </row>
    <row r="301" spans="1:29" x14ac:dyDescent="0.2">
      <c r="A301" s="154" t="s">
        <v>317</v>
      </c>
      <c r="B301" s="354">
        <v>18577</v>
      </c>
      <c r="C301" s="354">
        <v>18065</v>
      </c>
      <c r="D301" s="354">
        <v>18120</v>
      </c>
      <c r="E301" s="354">
        <v>17971</v>
      </c>
      <c r="F301" s="331">
        <v>17777.935541330364</v>
      </c>
      <c r="G301" s="336">
        <v>17583.870748677982</v>
      </c>
      <c r="H301" s="337">
        <v>17395.807959922065</v>
      </c>
      <c r="I301" s="337">
        <v>17212.746841079872</v>
      </c>
      <c r="J301" s="337">
        <v>17036.688060116889</v>
      </c>
      <c r="K301" s="337">
        <v>16861.629613136647</v>
      </c>
      <c r="L301" s="337">
        <v>16688.571834121896</v>
      </c>
      <c r="M301" s="360">
        <f t="shared" si="41"/>
        <v>16512.996569460811</v>
      </c>
      <c r="N301" s="360">
        <f t="shared" si="41"/>
        <v>16339.268477455793</v>
      </c>
      <c r="O301" s="360">
        <f t="shared" si="42"/>
        <v>16167.368124578845</v>
      </c>
      <c r="Q301" s="266">
        <v>992</v>
      </c>
      <c r="R301" s="266" t="s">
        <v>317</v>
      </c>
      <c r="S301" s="360">
        <f t="shared" si="43"/>
        <v>17971</v>
      </c>
      <c r="T301" s="360">
        <f t="shared" si="44"/>
        <v>17777.935541330364</v>
      </c>
      <c r="U301" s="360">
        <f t="shared" si="45"/>
        <v>17583.870748677982</v>
      </c>
      <c r="V301" s="360">
        <f t="shared" si="46"/>
        <v>17395.807959922065</v>
      </c>
      <c r="W301" s="360">
        <f t="shared" si="47"/>
        <v>17212.746841079872</v>
      </c>
      <c r="X301" s="360">
        <f t="shared" si="48"/>
        <v>17036.688060116889</v>
      </c>
      <c r="Y301" s="360">
        <f t="shared" si="49"/>
        <v>16861.629613136647</v>
      </c>
      <c r="Z301" s="360">
        <f t="shared" si="50"/>
        <v>16688.571834121896</v>
      </c>
      <c r="AA301" s="443">
        <v>0.98947931156684721</v>
      </c>
    </row>
    <row r="302" spans="1:29" x14ac:dyDescent="0.2">
      <c r="I302" s="267"/>
    </row>
    <row r="303" spans="1:29" x14ac:dyDescent="0.2">
      <c r="I303" s="267"/>
    </row>
    <row r="304" spans="1:29" x14ac:dyDescent="0.2">
      <c r="A304" s="154"/>
      <c r="B304" s="182"/>
      <c r="C304" s="182"/>
      <c r="E304" s="182"/>
      <c r="F304" s="182"/>
      <c r="G304" s="267"/>
      <c r="H304" s="267"/>
      <c r="I304" s="267"/>
    </row>
  </sheetData>
  <sortState ref="Q6:AA300">
    <sortCondition ref="R6:R300"/>
  </sortState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2</vt:i4>
      </vt:variant>
    </vt:vector>
  </HeadingPairs>
  <TitlesOfParts>
    <vt:vector size="6" baseType="lpstr">
      <vt:lpstr>selite</vt:lpstr>
      <vt:lpstr>KEHIKKO</vt:lpstr>
      <vt:lpstr>pohjatiedot</vt:lpstr>
      <vt:lpstr>väestöennuste</vt:lpstr>
      <vt:lpstr>KEHIKKO!Tulostusalue</vt:lpstr>
      <vt:lpstr>selite!Tulostusalue</vt:lpstr>
    </vt:vector>
  </TitlesOfParts>
  <Company>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Kunnan talouden laskentakehikko</dc:title>
  <dc:creator>Ville Salonen</dc:creator>
  <cp:lastModifiedBy>Salonen Ville (VM)</cp:lastModifiedBy>
  <cp:lastPrinted>2024-09-27T10:10:20Z</cp:lastPrinted>
  <dcterms:created xsi:type="dcterms:W3CDTF">2007-06-13T09:05:00Z</dcterms:created>
  <dcterms:modified xsi:type="dcterms:W3CDTF">2024-10-02T07:44:36Z</dcterms:modified>
</cp:coreProperties>
</file>